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96" windowWidth="15135" windowHeight="9300" tabRatio="867" activeTab="0"/>
  </bookViews>
  <sheets>
    <sheet name="FBA" sheetId="1" r:id="rId1"/>
    <sheet name="VRA" sheetId="2" r:id="rId2"/>
    <sheet name="GTPA" sheetId="3" r:id="rId3"/>
    <sheet name="PSA" sheetId="4" r:id="rId4"/>
    <sheet name="NT-13-1" sheetId="5" r:id="rId5"/>
    <sheet name="MT-12-1" sheetId="6" r:id="rId6"/>
    <sheet name="Ats-8-1" sheetId="7" r:id="rId7"/>
    <sheet name="IA-6-6" sheetId="8" r:id="rId8"/>
    <sheet name="GS-17-7" sheetId="9" r:id="rId9"/>
    <sheet name="PPekv-17-8" sheetId="10" r:id="rId10"/>
    <sheet name="FS-20-4" sheetId="11" r:id="rId11"/>
    <sheet name="FSL-20-5" sheetId="12" r:id="rId12"/>
    <sheet name="TrMS-17-12" sheetId="13" r:id="rId13"/>
    <sheet name="KP-10-2" sheetId="14" r:id="rId14"/>
    <sheet name="SEGM-25-1" sheetId="15" r:id="rId15"/>
    <sheet name="PNĮ-19-7" sheetId="16" r:id="rId16"/>
    <sheet name="KLAID7-7" sheetId="17" r:id="rId17"/>
    <sheet name="KLAID-7-10" sheetId="18" r:id="rId18"/>
  </sheets>
  <definedNames>
    <definedName name="_xlnm.Print_Area" localSheetId="17">'KLAID-7-10'!$A$1:$K$53</definedName>
    <definedName name="_xlnm.Print_Area" localSheetId="16">'KLAID7-7'!$A$1:$H$86</definedName>
    <definedName name="_xlnm.Print_Area" localSheetId="15">'PNĮ-19-7'!$A$1:$K$21</definedName>
    <definedName name="_xlnm.Print_Titles" localSheetId="6">'Ats-8-1'!$9:$11</definedName>
    <definedName name="_xlnm.Print_Titles" localSheetId="0">'FBA'!$19:$19</definedName>
    <definedName name="_xlnm.Print_Titles" localSheetId="10">'FS-20-4'!$10:$12</definedName>
    <definedName name="_xlnm.Print_Titles" localSheetId="11">'FSL-20-5'!$19:$19</definedName>
    <definedName name="_xlnm.Print_Titles" localSheetId="8">'GS-17-7'!$19:$19</definedName>
    <definedName name="_xlnm.Print_Titles" localSheetId="7">'IA-6-6'!$19:$19</definedName>
    <definedName name="_xlnm.Print_Titles" localSheetId="13">'KP-10-2'!$20:$20</definedName>
    <definedName name="_xlnm.Print_Titles" localSheetId="5">'MT-12-1'!$9:$11</definedName>
    <definedName name="_xlnm.Print_Titles" localSheetId="4">'NT-13-1'!$9:$11</definedName>
    <definedName name="_xlnm.Print_Titles" localSheetId="9">'PPekv-17-8'!$19:$19</definedName>
    <definedName name="_xlnm.Print_Titles" localSheetId="3">'PSA'!$19:$21</definedName>
    <definedName name="_xlnm.Print_Titles" localSheetId="12">'TrMS-17-12'!$20:$20</definedName>
    <definedName name="_xlnm.Print_Titles" localSheetId="1">'VRA'!$20:$20</definedName>
  </definedNames>
  <calcPr fullCalcOnLoad="1"/>
</workbook>
</file>

<file path=xl/sharedStrings.xml><?xml version="1.0" encoding="utf-8"?>
<sst xmlns="http://schemas.openxmlformats.org/spreadsheetml/2006/main" count="1702" uniqueCount="721">
  <si>
    <t>priedas</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</si>
  <si>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</si>
  <si>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</si>
  <si>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</si>
  <si>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</si>
  <si>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</si>
  <si>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</si>
  <si>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</si>
  <si>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</si>
  <si>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</si>
  <si>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</si>
  <si>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r>
      <t>Įsigyta atsargų per ataskaitinį laikotarpį:</t>
    </r>
    <r>
      <rPr>
        <sz val="9"/>
        <rFont val="Times New (W1)"/>
        <family val="1"/>
      </rPr>
      <t xml:space="preserve"> </t>
    </r>
    <r>
      <rPr>
        <sz val="9"/>
        <rFont val="Times New (W1)"/>
        <family val="0"/>
      </rPr>
      <t>(2.1+2.2)</t>
    </r>
  </si>
  <si>
    <t>įsigyto turto įsigijimo savikaina</t>
  </si>
  <si>
    <t>nemokamai gautų atsargų įsigijimo savikaina</t>
  </si>
  <si>
    <t>Atsargų sumažėjimas per ataskaitinį laikotarpį  (3.1+3.2+3.3+3.4)</t>
  </si>
  <si>
    <t>Parduota</t>
  </si>
  <si>
    <t>Perleista (paskirstyta)</t>
  </si>
  <si>
    <t>Sunaudota veikloje</t>
  </si>
  <si>
    <t>Kiti nurašymai</t>
  </si>
  <si>
    <t>Atsargų įsigijimo vertė ataskaitinio laikotarpio pabaigoje (1+2-3+/-4)</t>
  </si>
  <si>
    <t>Atsargų nuvertėjimas ataskaitinio laikotarpio pradžioje</t>
  </si>
  <si>
    <t>Nemokamai arba už simbolinį atlygį gautų atsargų sukaupta nuvertėjimo suma (iki perdavimo)</t>
  </si>
  <si>
    <r>
      <t>Atsargų nuvertėjimas</t>
    </r>
    <r>
      <rPr>
        <b/>
        <sz val="9"/>
        <rFont val="Times New Roman"/>
        <family val="1"/>
      </rPr>
      <t xml:space="preserve"> </t>
    </r>
    <r>
      <rPr>
        <sz val="9"/>
        <rFont val="Times New Roman"/>
        <family val="1"/>
      </rPr>
      <t xml:space="preserve">per ataskaitinį laikotarpį </t>
    </r>
  </si>
  <si>
    <t>10-ojo VSAFAS „Kitos pajamos“</t>
  </si>
  <si>
    <t xml:space="preserve">        2 priedas</t>
  </si>
  <si>
    <t>(Informacijos apie pagrindinės veiklos kitas pajamas ir kitos veiklos pajamas pateikimo žemesniojo ir aukštesniojo lygių finansinių ataskaitų aiškinamajame rašte  formos pavyzdys)</t>
  </si>
  <si>
    <t>KITOS PAJAMOS*</t>
  </si>
  <si>
    <t>Pajamos iš rinkliavų</t>
  </si>
  <si>
    <t>Pajamos iš administracinių baudų</t>
  </si>
  <si>
    <t>Pajamos iš dividendų</t>
  </si>
  <si>
    <t>Pajamos iš atsargų pardavimo</t>
  </si>
  <si>
    <t>Ilgalaikio materialiojo ir biologinio turto pardavimo pelnas</t>
  </si>
  <si>
    <t>Suteiktų paslaugų pajamos**</t>
  </si>
  <si>
    <t xml:space="preserve">Pajamos iš atsargų pardavimo </t>
  </si>
  <si>
    <t>Nuomos pajamos</t>
  </si>
  <si>
    <t>Suteiktų paslaugų, išskyrus nuomą, pajamos**</t>
  </si>
  <si>
    <t>* Reikšmingos sumos turi būti paaiškintos.</t>
  </si>
  <si>
    <t>** Nurodoma, kokios tai paslaugos, ir jei suma reikšminga, ji detalizuojama.</t>
  </si>
  <si>
    <t>_______________________</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</si>
  <si>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</si>
  <si>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</si>
  <si>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</si>
  <si>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</si>
  <si>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</si>
  <si>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</si>
  <si>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</si>
  <si>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</si>
  <si>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</si>
  <si>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</si>
  <si>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</si>
  <si>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</si>
  <si>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</si>
  <si>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</si>
  <si>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</si>
  <si>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Nuvertėjimo ir nurašytų sumų</t>
  </si>
  <si>
    <t>1.9.</t>
  </si>
  <si>
    <t>Sunaudotų ir parduotų atsargų savikaina</t>
  </si>
  <si>
    <t>1.10.</t>
  </si>
  <si>
    <t>1.11.</t>
  </si>
  <si>
    <t>1.12.</t>
  </si>
  <si>
    <t>Finansavimo</t>
  </si>
  <si>
    <t>1.13.</t>
  </si>
  <si>
    <t>Kitų paslaugų</t>
  </si>
  <si>
    <t>kodas 190191175, J.Basanavičiaus g. 56, 28142 Utena</t>
  </si>
  <si>
    <r>
      <t>___</t>
    </r>
    <r>
      <rPr>
        <u val="single"/>
        <sz val="10"/>
        <rFont val="Times New Roman"/>
        <family val="1"/>
      </rPr>
      <t>2012-03-14</t>
    </r>
    <r>
      <rPr>
        <sz val="10"/>
        <rFont val="Times New Roman"/>
        <family val="1"/>
      </rPr>
      <t>____Nr. _____</t>
    </r>
  </si>
  <si>
    <t xml:space="preserve">Prie Utenos KKSC 2011 m. aiškinamojo rašto </t>
  </si>
  <si>
    <t xml:space="preserve">                                                                                                                Prie Utenos KKSC 2011 m. aiškinamojo rašto </t>
  </si>
  <si>
    <t>Pagal  2011 m. gruodžio 31 d. duomenis</t>
  </si>
  <si>
    <t xml:space="preserve">            prie Utenos KKSC 2011 m. FAR aiškinamojo rašto</t>
  </si>
  <si>
    <t xml:space="preserve">          prie Utenos KKSC 2011 m. FAR aiškinamojo rašto</t>
  </si>
  <si>
    <t>1.14.</t>
  </si>
  <si>
    <t>Išmokos:</t>
  </si>
  <si>
    <t>3.1.1.</t>
  </si>
  <si>
    <t>3.1.2.</t>
  </si>
  <si>
    <t>3.1.3.</t>
  </si>
  <si>
    <t>3.1.4.</t>
  </si>
  <si>
    <t>3.1.5.</t>
  </si>
  <si>
    <t>3.1.6.</t>
  </si>
  <si>
    <t>3.1.7.</t>
  </si>
  <si>
    <t>3.1.8.</t>
  </si>
  <si>
    <t>3.1.9.</t>
  </si>
  <si>
    <t>3.1.10.</t>
  </si>
  <si>
    <t>3.1.11.</t>
  </si>
  <si>
    <t>3.1.12.</t>
  </si>
  <si>
    <r>
      <t>Atsargų nuvertėjimo</t>
    </r>
    <r>
      <rPr>
        <b/>
        <sz val="9"/>
        <rFont val="Times New Roman"/>
        <family val="1"/>
      </rPr>
      <t xml:space="preserve"> </t>
    </r>
    <r>
      <rPr>
        <sz val="9"/>
        <rFont val="Times New Roman"/>
        <family val="1"/>
      </rPr>
      <t>atkūrimo per ataskaitinį laikotarpį suma</t>
    </r>
  </si>
  <si>
    <t>Per ataskaitinį laikotarpį parduotų, perleistų (paskirstytų), sunaudotų ir nurašytų atsargų nuvertėjimas (10.1+10.2+10.3+10.4)</t>
  </si>
  <si>
    <t>10.1.</t>
  </si>
  <si>
    <t>10.2.</t>
  </si>
  <si>
    <t>10.3.</t>
  </si>
  <si>
    <t>10.4.</t>
  </si>
  <si>
    <t>Nuvertėjimo pergrupavimai (+/-)</t>
  </si>
  <si>
    <t>Atsargų nuvertėjimas ataskaitinio laikotarpio pabaigoje (6+7+8-9-10+/-11)</t>
  </si>
  <si>
    <t>Atsargų balansinė vertė ataskaitinio laikotarpio pabaigoje (5-12)</t>
  </si>
  <si>
    <t>Atsargų balansinė vertė ataskaitinio laikotarpio pradžioje (1-6)</t>
  </si>
  <si>
    <t>_______________________________</t>
  </si>
  <si>
    <t>*Reikšmingos sumos turi būti detalizuojamos aiškinamojo rašto tekste.</t>
  </si>
  <si>
    <t>                                                                                                                6-ojo VSAFAS „Finansinių ataskaitų aiškinamasis raštas“</t>
  </si>
  <si>
    <t xml:space="preserve">                                                                                                                6 priedas               </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</si>
  <si>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</si>
  <si>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</si>
  <si>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</si>
  <si>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</si>
  <si>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</si>
  <si>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Išankstiniai mokesčių mokėjimai</t>
  </si>
  <si>
    <t>Išankstiniai mokėjimai Europos Sąjungai</t>
  </si>
  <si>
    <t>Išankstiniai apmokėjimai darbuotojams</t>
  </si>
  <si>
    <t>1.6.</t>
  </si>
  <si>
    <t>Kiti išanktiniai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</si>
  <si>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</si>
  <si>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</si>
  <si>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</si>
  <si>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</si>
  <si>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</si>
  <si>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</si>
  <si>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7 priedas</t>
  </si>
  <si>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</si>
  <si>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</si>
  <si>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</si>
  <si>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</si>
  <si>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</si>
  <si>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</si>
  <si>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</si>
  <si>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</si>
  <si>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</si>
  <si>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</si>
  <si>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</si>
  <si>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</si>
  <si>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</si>
  <si>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</si>
  <si>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</si>
  <si>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</si>
  <si>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</si>
  <si>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</si>
  <si>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</si>
  <si>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</si>
  <si>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</si>
  <si>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</si>
  <si>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</si>
  <si>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Kitos</t>
  </si>
  <si>
    <t>Gautinos sumos už konfiskuotą turtą, baudos ir kitos netesybos</t>
  </si>
  <si>
    <t>1.5.1.</t>
  </si>
  <si>
    <t>Iš biudžeto</t>
  </si>
  <si>
    <t>1.5.2.</t>
  </si>
  <si>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</si>
  <si>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</si>
  <si>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t>Po penkerių metų</t>
  </si>
  <si>
    <t>8 priedas</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</si>
  <si>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</si>
  <si>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</si>
  <si>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</si>
  <si>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t>
  </si>
  <si>
    <t>Pinigai bankų sąskaitose</t>
  </si>
  <si>
    <t>Pinigai kasoje </t>
  </si>
  <si>
    <t>Pinigai kelyje </t>
  </si>
  <si>
    <t>Pinigai įšaldytose sąskaitose</t>
  </si>
  <si>
    <t>Pinigų įšaldytose sąskaitose nuvertėjimas</t>
  </si>
  <si>
    <t>Pinigai iš savivaldybės biudžeto (2.1+2.2+2.3+2.4–2.5)</t>
  </si>
  <si>
    <t>2.1. </t>
  </si>
  <si>
    <t>Pinigai bankų sąskaitose </t>
  </si>
  <si>
    <t>2.2. </t>
  </si>
  <si>
    <t>2.3. </t>
  </si>
  <si>
    <t>2.4. </t>
  </si>
  <si>
    <t>3. </t>
  </si>
  <si>
    <t>Likutis 2009 m. gruodžio 31 d.</t>
  </si>
  <si>
    <t>Likutis 2010 m. gruodžio 31 d.</t>
  </si>
  <si>
    <t>Ilgalaikio turto (išskyrus finansinį) ir biologinio turto įsigijimas(-)</t>
  </si>
  <si>
    <t>Ilgalaikio turto (išskyrus finansinį) ir biologinio turto perleidimas(+)</t>
  </si>
  <si>
    <t>Investicijos į kontroliuojamus ir asocijuotuosius subjektus (-)</t>
  </si>
  <si>
    <t>Investicijos į ne nuosavybės vertybinius popierius (-)</t>
  </si>
  <si>
    <t>Investicijos į kitą finansinį turtą (-)</t>
  </si>
  <si>
    <t>Investicijos į kontroliuojamus ir asocijuotuosius subjektus (+)</t>
  </si>
  <si>
    <t>Investicijos į ne nuosavybės vertybinius popierius (+)</t>
  </si>
  <si>
    <t>Investicijos į kitą finansinį turtą (+)</t>
  </si>
  <si>
    <t>Po vienų metų gautinų sumų (padidėjimas (-)) sumažėjimas (+)</t>
  </si>
  <si>
    <t>Ilgalaikių terminuotųjų indėlių (padidėjimas (-)) sumažėjimas (+)</t>
  </si>
  <si>
    <t>Kito ilgalaikio finansinio turto (padidėjimas (-)) sumažėjimas (+)</t>
  </si>
  <si>
    <t>Kito ilgalaikio turto (padidėjimas (-)) sumažėjimas (+)</t>
  </si>
  <si>
    <t>Kiti finansinės veiklos pinigų srautai (+ar-)</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</si>
  <si>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</si>
  <si>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</si>
  <si>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</si>
  <si>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</si>
  <si>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</si>
  <si>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</si>
  <si>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</si>
  <si>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</si>
  <si>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</si>
  <si>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</si>
  <si>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</si>
  <si>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</si>
  <si>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(Informacijos apie finansavimo sumas pagal šaltinį, tikslinę paskirtį ir jų pokyčius per ataskaitinį laikotarpį pateikimo žemesniojo lygio</t>
  </si>
  <si>
    <t>finansinių ataskaitų aiškinamajame rašte forma)</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</si>
  <si>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</si>
  <si>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</si>
  <si>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</si>
  <si>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</si>
  <si>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Finansavimo sumų pergrupavimas</t>
  </si>
  <si>
    <t>Neatlygintinai gautas turtas</t>
  </si>
  <si>
    <t>Perduota kitiems viešojo sektoriaus subjektams</t>
  </si>
  <si>
    <t>Finansavimo sumų sumažėjimas dėl turto pardavimo</t>
  </si>
  <si>
    <t>Finansavimo sumų sumažėjimas dėl jų panaudojimo savo veiklai</t>
  </si>
  <si>
    <t>Finansavimo sumų sumažėjimas dėl jų perdavimo ne viešojo sektoriaus subjektams</t>
  </si>
  <si>
    <t>Finansavimo sumos (grąžintos)</t>
  </si>
  <si>
    <t xml:space="preserve"> Finansavimo sumų (gautinų) pasikeitimas</t>
  </si>
  <si>
    <t>11</t>
  </si>
  <si>
    <t>Iš valstybės biudžeto (išskyrus valstybės biudžeto asignavimų dalį, gautą  iš Europos Sąjungos, užsienio valstybių ir tarptautinių organizacijų):</t>
  </si>
  <si>
    <t>nepiniginiam turtui įsigyti</t>
  </si>
  <si>
    <t>kitoms išlaidoms kompensuoti</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</si>
  <si>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</si>
  <si>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</si>
  <si>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Iš kitų šaltinių:</t>
  </si>
  <si>
    <t>4.1.</t>
  </si>
  <si>
    <t>4.2.</t>
  </si>
  <si>
    <t>Iš viso finansavimo sumų</t>
  </si>
  <si>
    <t>20-ojo VSAFAS „Finansavimo sumos“</t>
  </si>
  <si>
    <t>5 priedas</t>
  </si>
  <si>
    <t>Informacijos apie finansavimo sumas pagal šaltinį, tikslinę paskirtį ir jų pokyčius per ataskaitinį laikotarpį pateikimo žemesniojo lygio</t>
  </si>
  <si>
    <t>FINANSAVIMO SUMŲ LIKUČIAI</t>
  </si>
  <si>
    <t>Finansavimo šaltinis</t>
  </si>
  <si>
    <t>Ataskaitinio laikotarpio pradžioje</t>
  </si>
  <si>
    <t>Ataskaitinio laikotarpio pabaigoje</t>
  </si>
  <si>
    <t>Finansavimo sumos (gautinos)</t>
  </si>
  <si>
    <t>Finansavimo sumos (gautos)</t>
  </si>
  <si>
    <t xml:space="preserve"> Finansavimo sumos (gautinos)</t>
  </si>
  <si>
    <t xml:space="preserve"> Finansavimo sumos (gautos)</t>
  </si>
  <si>
    <t>5=3+4</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</si>
  <si>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</si>
  <si>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</si>
  <si>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</si>
  <si>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</si>
  <si>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12 priedas</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</si>
  <si>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</si>
  <si>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</si>
  <si>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</si>
  <si>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</si>
  <si>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</si>
  <si>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</si>
  <si>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</si>
  <si>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</si>
  <si>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</si>
  <si>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</si>
  <si>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4.3.</t>
  </si>
  <si>
    <t>Kitos mokėtinos sumos</t>
  </si>
  <si>
    <t>Kai kurių trumpalaikių mokėtinų sumų balansinė vertė (1+2+3+4)</t>
  </si>
  <si>
    <t>______________________________</t>
  </si>
  <si>
    <t>2-ojo VSAFAS „Finansinės būklės ataskaita“</t>
  </si>
  <si>
    <t>2 priedas</t>
  </si>
  <si>
    <t>25-ojo VSAFAS „Segmentai“</t>
  </si>
  <si>
    <t>(Žemesniojo lygio viešojo sektoriaus subjektų, išskyrus mokesčių fondus ir išteklių fondus, finansinės būklės ataskaitos forma)</t>
  </si>
  <si>
    <r>
      <t>(viešojo sektoriaus subjekto arba viešojo sektoriaus subjektų grupės</t>
    </r>
    <r>
      <rPr>
        <b/>
        <sz val="10"/>
        <rFont val="Times New Roman"/>
        <family val="1"/>
      </rPr>
      <t xml:space="preserve"> </t>
    </r>
    <r>
      <rPr>
        <sz val="10"/>
        <rFont val="Times New Roman"/>
        <family val="1"/>
      </rPr>
      <t>pavadinimas)</t>
    </r>
  </si>
  <si>
    <r>
      <t xml:space="preserve"> Finansavimo sumos (gautos), išskyrus neatlygintinai gautą turtą</t>
    </r>
    <r>
      <rPr>
        <b/>
        <strike/>
        <sz val="10"/>
        <rFont val="Times New Roman"/>
        <family val="1"/>
      </rPr>
      <t xml:space="preserve"> </t>
    </r>
  </si>
  <si>
    <t>Laikotarpis</t>
  </si>
  <si>
    <t>Per vienerius metus</t>
  </si>
  <si>
    <t>Nuo vienerių iki penkerių metų</t>
  </si>
  <si>
    <t>Direktoriaus pavaduotojas, pavaduojantis direktorių</t>
  </si>
  <si>
    <t>kodas 190191175, J.Basanavičiaus g.56, 28142 Utena</t>
  </si>
  <si>
    <t>PAGAL 2011 M.GRUODŽIO 31 D. DUOMENIS</t>
  </si>
  <si>
    <r>
      <t>___</t>
    </r>
    <r>
      <rPr>
        <u val="single"/>
        <sz val="12"/>
        <rFont val="Times New Roman"/>
        <family val="1"/>
      </rPr>
      <t>2012-03-14</t>
    </r>
    <r>
      <rPr>
        <sz val="12"/>
        <rFont val="Times New Roman"/>
        <family val="1"/>
      </rPr>
      <t>____Nr. _____</t>
    </r>
  </si>
  <si>
    <t>aukštesniojo lygio finansinių ataskaitų aiškinamajame rašte forma)</t>
  </si>
  <si>
    <t>Mokėtinos pagrindinės nuomos įmokos paskutinę ataskaitinio laikotarpio dieną</t>
  </si>
  <si>
    <t>Iš viso:</t>
  </si>
  <si>
    <t>* Pažymėti ataskaitos laukai nepildomi.</t>
  </si>
  <si>
    <t>(Informacijos apie būsimąsias pagrindinės nuomos įmokas, kurias numatoma sumokėti pagal</t>
  </si>
  <si>
    <t xml:space="preserve">pasirašytas veiklos nuomos sutartis pagal laikotarpius pateikimo žemesniojo ir </t>
  </si>
  <si>
    <r>
      <t xml:space="preserve">19-ojo VSAFAS „Nuoma, finansinė nuoma (lizingas) ir kitos turto perdavimo sutartys“
</t>
    </r>
  </si>
  <si>
    <t>BŪSIMOSIOS PAGRINDINĖS NUOMOS ĮMOKOS, KURIAS NUMATOMA SUMOKĖTI PAGAL PASIRAŠYTAS VEIKLOS NUOMOS SUTARTIS, PAGAL LAIKOTARPIUS</t>
  </si>
  <si>
    <t xml:space="preserve">                                                           ________________________________</t>
  </si>
  <si>
    <t>7-ojo VSAFAS  „Apskaitos politikos, apskaitinių įverčių keitimas ir klaidų taisymas“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</si>
  <si>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</si>
  <si>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</si>
  <si>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</si>
  <si>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</si>
  <si>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</si>
  <si>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</si>
  <si>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6=3+4+5</t>
  </si>
  <si>
    <t xml:space="preserve">                                        </t>
  </si>
  <si>
    <t xml:space="preserve">                                                                    </t>
  </si>
  <si>
    <t>10 priedas</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</si>
  <si>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</si>
  <si>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APSKAITOS POLITIKOS KEITIMO IR KLAIDŲ TAISYMO ĮTAKA VEIKLOS REZULTATŲ ATASKAITOS STRAIPSNIAMS</t>
  </si>
  <si>
    <t>Praėjęs ataskaitinis laikotarpis, įvertinus apskaitos politikos keitimo ir klaidų taisymo įtaką</t>
  </si>
  <si>
    <t>Sumažėjimas    (-)</t>
  </si>
  <si>
    <t>7=4+5+6</t>
  </si>
  <si>
    <t>Likutis 2011 m. gruodžio 31 d.</t>
  </si>
  <si>
    <t>PASTABA. Jeigu klaidų taisymo nebuvo - ataskaita neteikiama.</t>
  </si>
  <si>
    <t>Utenos kūno kultūros ir sporto centras</t>
  </si>
  <si>
    <t>190191175, J.Basanavičiaus g. 56, 28142 Utena</t>
  </si>
  <si>
    <t>PAGAL 2011 M. GRUODŽIO 31 D. DUOMENIS</t>
  </si>
  <si>
    <r>
      <t>__</t>
    </r>
    <r>
      <rPr>
        <u val="single"/>
        <sz val="11"/>
        <rFont val="Times New Roman"/>
        <family val="1"/>
      </rPr>
      <t>2012-03-14</t>
    </r>
    <r>
      <rPr>
        <sz val="11"/>
        <rFont val="Times New Roman"/>
        <family val="1"/>
      </rPr>
      <t>__Nr._____</t>
    </r>
  </si>
  <si>
    <r>
      <t>__</t>
    </r>
    <r>
      <rPr>
        <u val="single"/>
        <sz val="10"/>
        <rFont val="Times New Roman"/>
        <family val="1"/>
      </rPr>
      <t>2012-03-14</t>
    </r>
    <r>
      <rPr>
        <sz val="10"/>
        <rFont val="Times New Roman"/>
        <family val="1"/>
      </rPr>
      <t>__Nr. _____</t>
    </r>
  </si>
  <si>
    <t>prie Utenos KKSC 2011 m. FAR aiškinamojo rašto</t>
  </si>
  <si>
    <t>(viešojo sektoriaus subjekto, parengusio finansinės būklės ataskaitą (konsoliduotąją finansinės būklės ataskaitą), kodas, adresas)</t>
  </si>
  <si>
    <t>FINANSINĖS BŪKLĖS ATASKAITA</t>
  </si>
  <si>
    <t>(data)</t>
  </si>
  <si>
    <t>Pateikimo valiuta ir tikslumas: litais arba tūkstančiais litų</t>
  </si>
  <si>
    <t>Eil. Nr.</t>
  </si>
  <si>
    <t>Straipsniai</t>
  </si>
  <si>
    <t xml:space="preserve">Pastabos Nr. </t>
  </si>
  <si>
    <t>Paskutinė ataskaitinio laikotarpio diena</t>
  </si>
  <si>
    <t>Paskutinė praėjusio ataskaitinio laikotarpio diena</t>
  </si>
  <si>
    <t>A.</t>
  </si>
  <si>
    <t>ILGALAIKIS TURTAS</t>
  </si>
  <si>
    <t>I.</t>
  </si>
  <si>
    <t>Nematerialusis turtas</t>
  </si>
  <si>
    <t>I.1</t>
  </si>
  <si>
    <t>Plėtros darbai</t>
  </si>
  <si>
    <t>I.2</t>
  </si>
  <si>
    <t>Programinė įranga ir jos licencijos</t>
  </si>
  <si>
    <t>I.3</t>
  </si>
  <si>
    <t>Kitas nematerialusis turtas</t>
  </si>
  <si>
    <t>I.4</t>
  </si>
  <si>
    <t>Nebaigti projektai ir išankstiniai mokėjimai</t>
  </si>
  <si>
    <t>I.5</t>
  </si>
  <si>
    <t>Prestižas</t>
  </si>
  <si>
    <t>II.</t>
  </si>
  <si>
    <t>Ilgalaikis materialusis turtas</t>
  </si>
  <si>
    <t>II.1</t>
  </si>
  <si>
    <t>Žemė</t>
  </si>
  <si>
    <t>II.2</t>
  </si>
  <si>
    <t>Pastatai</t>
  </si>
  <si>
    <t>II.3</t>
  </si>
  <si>
    <t>Infrastruktūros ir kiti statiniai</t>
  </si>
  <si>
    <t>II.4</t>
  </si>
  <si>
    <t>Nekilnojamosios kultūros vertybės</t>
  </si>
  <si>
    <t>II.5</t>
  </si>
  <si>
    <t>Mašinos ir įrenginiai</t>
  </si>
  <si>
    <t>II.6</t>
  </si>
  <si>
    <t>Transporto priemonės</t>
  </si>
  <si>
    <t>II.7</t>
  </si>
  <si>
    <t>Kilnojamosios kultūros vertybės</t>
  </si>
  <si>
    <t>II.8</t>
  </si>
  <si>
    <t>Baldai ir biuro įranga</t>
  </si>
  <si>
    <t>II.9</t>
  </si>
  <si>
    <r>
      <t>Kitas ilgalaikis</t>
    </r>
    <r>
      <rPr>
        <b/>
        <sz val="10"/>
        <rFont val="Times New Roman"/>
        <family val="1"/>
      </rPr>
      <t xml:space="preserve"> </t>
    </r>
    <r>
      <rPr>
        <sz val="10"/>
        <rFont val="Times New Roman"/>
        <family val="1"/>
      </rPr>
      <t>materialusis turtas</t>
    </r>
  </si>
  <si>
    <t>II.10</t>
  </si>
  <si>
    <t>Nebaigta statyba ir išankstiniai mokėjimai</t>
  </si>
  <si>
    <t>III.</t>
  </si>
  <si>
    <t>Ilgalaikis finansinis turtas</t>
  </si>
  <si>
    <t>IV.</t>
  </si>
  <si>
    <t>Kitas ilgalaikis turtas</t>
  </si>
  <si>
    <t>B.</t>
  </si>
  <si>
    <t>BIOLOGINIS TURTAS</t>
  </si>
  <si>
    <t>C.</t>
  </si>
  <si>
    <t>TRUMPALAIKIS TURTAS</t>
  </si>
  <si>
    <t>Atsargos</t>
  </si>
  <si>
    <t>Strateginės ir neliečiamosios atsargos</t>
  </si>
  <si>
    <t>Medžiagos, žaliavos ir ūkinis inventorius</t>
  </si>
  <si>
    <t>Nebaigta gaminti produkcija ir nebaigtos vykdyti sutartys</t>
  </si>
  <si>
    <t>Pagaminta produkcija, atsargos, skirtos parduoti (perduoti)</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</si>
  <si>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</si>
  <si>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</si>
  <si>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</si>
  <si>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</si>
  <si>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</si>
  <si>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</si>
  <si>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</si>
  <si>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</si>
  <si>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</si>
  <si>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</si>
  <si>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</si>
  <si>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</si>
  <si>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</si>
  <si>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</si>
  <si>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</si>
  <si>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</si>
  <si>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</si>
  <si>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</si>
  <si>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</si>
  <si>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</si>
  <si>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</si>
  <si>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</si>
  <si>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</si>
  <si>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</si>
  <si>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</si>
  <si>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</si>
  <si>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</si>
  <si>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</si>
  <si>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</si>
  <si>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</si>
  <si>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</si>
  <si>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 xml:space="preserve">I.3 </t>
  </si>
  <si>
    <t>Kiti ilgalaikiai įsipareigojimai</t>
  </si>
  <si>
    <t>Trumpalaikiai įsipareigojimai</t>
  </si>
  <si>
    <t>Ilgalaikių atidėjinių einamųjų metų dalis ir trumpalaikiai atidėjiniai</t>
  </si>
  <si>
    <t>Ilgalaikių įsipareigojimų einamųjų metų dalis</t>
  </si>
  <si>
    <t>Trumpalaikiai finansiniai įsipareigojimai</t>
  </si>
  <si>
    <t>Mokėtinos subsidijos, dotacijos ir finansavimo sumos</t>
  </si>
  <si>
    <t>Mokėtinos sumos į Europos Sąjungos biudžetą</t>
  </si>
  <si>
    <t>Mokėtinos sumos į biudžetus ir fondus</t>
  </si>
  <si>
    <t>II.6.1</t>
  </si>
  <si>
    <t>Grąžintinos finansavimo sumos</t>
  </si>
  <si>
    <t>II.6.2</t>
  </si>
  <si>
    <t>Kitos mokėtinos sumos biudžetui</t>
  </si>
  <si>
    <t>Mokėtinos socialinės išmokos</t>
  </si>
  <si>
    <t>Grąžintini mokesčiai, įmokos ir jų permokos</t>
  </si>
  <si>
    <t>Tiekėjams mokėtinos sumos</t>
  </si>
  <si>
    <t>Su darbo santykiais susiję įsipareigojimai</t>
  </si>
  <si>
    <t>II.11</t>
  </si>
  <si>
    <t>Sukauptos mokėtinos sumos</t>
  </si>
  <si>
    <t>II.12</t>
  </si>
  <si>
    <t>Kiti trumpalaikiai įsipareigojimai</t>
  </si>
  <si>
    <t>F.</t>
  </si>
  <si>
    <t>GRYNASIS TURTAS</t>
  </si>
  <si>
    <t>Dalininkų kapitalas</t>
  </si>
  <si>
    <t>Rezervai</t>
  </si>
  <si>
    <t>Tikrosios vertės rezervas</t>
  </si>
  <si>
    <t>Kiti rezervai</t>
  </si>
  <si>
    <t>Nuosavybės metodo įtaka</t>
  </si>
  <si>
    <t>Sukauptas perviršis ar deficitas</t>
  </si>
  <si>
    <t>IV.1</t>
  </si>
  <si>
    <t>Einamųjų metų perviršis ar deficitas</t>
  </si>
  <si>
    <t>IV.2</t>
  </si>
  <si>
    <t>Ankstesnių metų perviršis ar deficitas</t>
  </si>
  <si>
    <t>G.</t>
  </si>
  <si>
    <t>MAŽUMOS DALIS</t>
  </si>
  <si>
    <t>IŠ VISO FINANSAVIMO SUMŲ, ĮSIPAREIGOJIMŲ, GRYNOJO TURTO IR MAŽUMOS DALIES:</t>
  </si>
  <si>
    <r>
      <t>(teisės aktais įpareigoto pasirašyti asmens</t>
    </r>
    <r>
      <rPr>
        <b/>
        <sz val="10"/>
        <rFont val="Times New Roman"/>
        <family val="1"/>
      </rPr>
      <t xml:space="preserve"> </t>
    </r>
    <r>
      <rPr>
        <sz val="10"/>
        <rFont val="Times New Roman"/>
        <family val="1"/>
      </rPr>
      <t>pareigų pavadinimas)                                     (parašas)</t>
    </r>
  </si>
  <si>
    <t>(vardas ir pavardė)</t>
  </si>
  <si>
    <t>3-iojo VSAFAS „Veiklos rezultatų ataskaita“</t>
  </si>
  <si>
    <t>(Žemesniojo lygio viešojo sektoriaus subjektų, išskyrus mokesčių fondus ir išteklių fondus</t>
  </si>
  <si>
    <t>(įskaitant socialinės apsaugos fondus), veiklos rezultatų ataskaitos forma)</t>
  </si>
  <si>
    <t>(viešojo sektoriaus subjekto arba viešojo sektoriaus subjektų grupės pavadinimas)</t>
  </si>
  <si>
    <t>(viešojo sektoriaus subjekto, parengusio veiklos rezultatų ataskaitą</t>
  </si>
  <si>
    <t>arba konsoliduotąją veiklos rezultatų ataskaitą,  kodas, adresas)</t>
  </si>
  <si>
    <t>VEIKLOS REZULTATŲ ATASKAITA</t>
  </si>
  <si>
    <t>Pastabos Nr.</t>
  </si>
  <si>
    <t>Ataskaitinis laikotarpis</t>
  </si>
  <si>
    <t>Praėjęs ataskaitinis laikotarpis</t>
  </si>
  <si>
    <t>PAGRINDINĖS VEIKLOS PAJAMOS</t>
  </si>
  <si>
    <t>FINANSAVIMO PAJAMOS</t>
  </si>
  <si>
    <t>I.1.</t>
  </si>
  <si>
    <t>I.2.</t>
  </si>
  <si>
    <t xml:space="preserve">Iš savivaldybių biudžetų </t>
  </si>
  <si>
    <t>I.3.</t>
  </si>
  <si>
    <t>Iš ES, užsienio valstybių ir tarptautinių organizacijų lėšų</t>
  </si>
  <si>
    <t>I.4.</t>
  </si>
  <si>
    <t>Iš kitų finansavimo šaltinių</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</si>
  <si>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</si>
  <si>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</si>
  <si>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</si>
  <si>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</si>
  <si>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</si>
  <si>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</si>
  <si>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</si>
  <si>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</si>
  <si>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</si>
  <si>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</si>
  <si>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</si>
  <si>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</si>
  <si>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</si>
  <si>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</si>
  <si>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</si>
  <si>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</si>
  <si>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</si>
  <si>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</si>
  <si>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</si>
  <si>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</si>
  <si>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</si>
  <si>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</si>
  <si>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</si>
  <si>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</si>
  <si>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NUVERTĖJIMO IR NURAŠYTŲ SUMŲ</t>
  </si>
  <si>
    <t>IX.</t>
  </si>
  <si>
    <t>SUNAUDOTŲ IR PARDUOTŲ ATSARGŲ SAVIKAINA</t>
  </si>
  <si>
    <t>X.</t>
  </si>
  <si>
    <t>socialinių išmokų</t>
  </si>
  <si>
    <t>SOCIALINIŲ IŠMOKŲ</t>
  </si>
  <si>
    <t>XI.</t>
  </si>
  <si>
    <t>nuomos</t>
  </si>
  <si>
    <t>NUOMOS</t>
  </si>
  <si>
    <t>XII.</t>
  </si>
  <si>
    <t>finansavimo</t>
  </si>
  <si>
    <t>FINANSAVIMO</t>
  </si>
  <si>
    <t>XIII.</t>
  </si>
  <si>
    <t>kitų paslaugų</t>
  </si>
  <si>
    <t>KITŲ PASLAUGŲ</t>
  </si>
  <si>
    <t>XIV.</t>
  </si>
  <si>
    <t xml:space="preserve">Kitos </t>
  </si>
  <si>
    <t>KITOS</t>
  </si>
  <si>
    <t>PAGRINDINĖS VEIKLOS PERVIRŠIS AR DEFICITAS</t>
  </si>
  <si>
    <t>KITOS VEIKLOS REZULTATAS</t>
  </si>
  <si>
    <t xml:space="preserve">I. </t>
  </si>
  <si>
    <t>Kitos veiklos pajamos</t>
  </si>
  <si>
    <t>KITOS VEIKLOS PAJAMOS</t>
  </si>
  <si>
    <t>PERVESTINOS Į BIUDŽETĄ KITOS VEIKLOS PAJAMOS</t>
  </si>
  <si>
    <t xml:space="preserve">III. </t>
  </si>
  <si>
    <t>Kitos veiklos sąnaudos</t>
  </si>
  <si>
    <t>KITOS VEIKLOS SĄNAUDOS</t>
  </si>
  <si>
    <t>FINANSINĖS IR INVESTICINĖS VEIKLOS REZULTATAS</t>
  </si>
  <si>
    <t>APSKAITOS POLITIKOS KEITIMO IR ESMINIŲ APSKAITOS KLAIDŲ TAISYMO ĮTAKA</t>
  </si>
  <si>
    <t>PELNO MOKESTIS</t>
  </si>
  <si>
    <t>H.</t>
  </si>
  <si>
    <t>GRYNASIS PERVIRŠIS AR DEFICITAS PRIEŠ NUOSAVYBĖS METODO ĮTAKĄ</t>
  </si>
  <si>
    <t>NUOSAVYBĖS METODO ĮTAKA</t>
  </si>
  <si>
    <t>J.</t>
  </si>
  <si>
    <t>GRYNASIS PERVIRŠIS AR DEFICITAS</t>
  </si>
  <si>
    <t>TENKANTIS KONTROLIUOJANČIAJAM SUBJEKTUI</t>
  </si>
  <si>
    <t>TENKANTIS MAŽUMOS DALIAI</t>
  </si>
  <si>
    <t>4-ojo VSAFAS „Grynojo turto pokyčių ataskaita“</t>
  </si>
  <si>
    <t>1 priedas</t>
  </si>
  <si>
    <t>(Grynojo turto pokyčių ataskaitos forma)</t>
  </si>
  <si>
    <t>(viešojo sektoriaus subjekto, parengusio grynojo turto pokyčių ataskaitą arba konsoliduotąją grynojo turto pokyčių ataskaitą, kodas, adresas)</t>
  </si>
  <si>
    <t xml:space="preserve">GRYNOJO TURTO POKYČIŲ ATASKAITA*   </t>
  </si>
  <si>
    <t xml:space="preserve">           Pateikimo valiuta ir tikslumas: litais arba tūkstančiais litų</t>
  </si>
  <si>
    <t>Pasta-bos Nr.</t>
  </si>
  <si>
    <t>Tenka kontroliuojančiajam subjektui</t>
  </si>
  <si>
    <t>Iš viso</t>
  </si>
  <si>
    <t>Mažu-mos dalis</t>
  </si>
  <si>
    <t>Kiti rezer-vai</t>
  </si>
  <si>
    <t>1.</t>
  </si>
  <si>
    <t>2.</t>
  </si>
  <si>
    <t>Tikrosios vertės rezervo likutis, gautas perėmus ilgalaikį turtą iš kito viešojo sektoriaus subjekto</t>
  </si>
  <si>
    <t>x</t>
  </si>
  <si>
    <t>3.</t>
  </si>
  <si>
    <t>Tikrosios vertės rezervo likutis, perduotas perleidus ilgalaikį turtą kitam subjektui</t>
  </si>
  <si>
    <t>4.</t>
  </si>
  <si>
    <t>Kitos tikrosios vertės rezervo padidėjimo (sumažėjimo) sumos</t>
  </si>
  <si>
    <t>5.</t>
  </si>
  <si>
    <t xml:space="preserve">Kiti sudaryti rezervai </t>
  </si>
  <si>
    <t>6.</t>
  </si>
  <si>
    <t>Kiti panaudoti rezervai</t>
  </si>
  <si>
    <t>7.</t>
  </si>
  <si>
    <t>Dalininkų (nuosavo) kapitalo padidėjimo (sumažėjimo) sumos</t>
  </si>
  <si>
    <t>8.</t>
  </si>
  <si>
    <t>Ataskaitinio laikotarpio grynasis perviršis ar deficitas</t>
  </si>
  <si>
    <t>9.</t>
  </si>
  <si>
    <t>10.</t>
  </si>
  <si>
    <t>11.</t>
  </si>
  <si>
    <t>12.</t>
  </si>
  <si>
    <t>13.</t>
  </si>
  <si>
    <t>14.</t>
  </si>
  <si>
    <t>15.</t>
  </si>
  <si>
    <t>Dalininkų kapitalo padidėjimo (sumažėjimo) sumos</t>
  </si>
  <si>
    <t>16.</t>
  </si>
  <si>
    <t>17.</t>
  </si>
  <si>
    <t>(teisės aktais įpareigoto pasirašyti asmens pareigų pavadinimas)</t>
  </si>
  <si>
    <t>(parašas)</t>
  </si>
  <si>
    <t>*Pažymėti ataskaitos laukai nepildomi.</t>
  </si>
  <si>
    <t>5-ojo VSAFAS „Pinigų srautų ataskaita“</t>
  </si>
  <si>
    <t>(Žemesniojo lygio viešojo sektoriaus subjektų, išskyrus mokesčių fondus ir išteklių fondus, pinigų srautų ataskaitos forma)</t>
  </si>
  <si>
    <t>(viešojo sektoriaus subjekto, parengusio pinigų srautų ataskaitą (konsoliduotąją pinigų srautų ataskaitą), kodas, adresas)</t>
  </si>
  <si>
    <t>PINIGŲ SRAUTŲ ATASKAITA</t>
  </si>
  <si>
    <t xml:space="preserve">               Pateikimo valiuta ir tikslumas: litais arba tūkstančiais litų</t>
  </si>
  <si>
    <t>Tiesioginiai pinigų srautai</t>
  </si>
  <si>
    <t>Netiesioginiai pinigų srautai</t>
  </si>
  <si>
    <t>Netiesioginiaipinigų srautai</t>
  </si>
  <si>
    <t>3</t>
  </si>
  <si>
    <t>PAGRINDINĖS VEIKLOS PINIGŲ SRAUTAI</t>
  </si>
  <si>
    <t>Įplaukos</t>
  </si>
  <si>
    <t>Finansavimo sumos kitoms išlaidoms:</t>
  </si>
  <si>
    <t>I.1.1</t>
  </si>
  <si>
    <t>Iš valstybės biudžeto</t>
  </si>
  <si>
    <t>I.1.2</t>
  </si>
  <si>
    <t>I.1.3</t>
  </si>
  <si>
    <t>Iš ES, užsienio valstybių ir tarptautinių organizacijų</t>
  </si>
  <si>
    <t>I.1.4</t>
  </si>
  <si>
    <t>Iš mokesčių</t>
  </si>
  <si>
    <t>1.3.</t>
  </si>
  <si>
    <t>Iš socialinių įmokų</t>
  </si>
  <si>
    <t>Už suteiktas paslaugas iš pirkėjų</t>
  </si>
  <si>
    <t>I.5.</t>
  </si>
  <si>
    <t>Už suteiktas paslaugas iš biudžeto</t>
  </si>
  <si>
    <t>I.6.</t>
  </si>
  <si>
    <t>Gautos palūkanos</t>
  </si>
  <si>
    <t>I.7.</t>
  </si>
  <si>
    <t>Kitos įplaukos</t>
  </si>
  <si>
    <t>Pervestos lėšos</t>
  </si>
  <si>
    <t>Į valstybės biudžetą</t>
  </si>
  <si>
    <t>Į savivaldybių biudžetus</t>
  </si>
  <si>
    <t>II.3.</t>
  </si>
  <si>
    <t>ES, užsienio valstybėms ir tarptautinėms organizacijoms</t>
  </si>
  <si>
    <t xml:space="preserve">Į kitus išteklių fondus </t>
  </si>
  <si>
    <t>Asignavimų valdytojų programų vykdytojams</t>
  </si>
  <si>
    <t>Kitiems subjektams</t>
  </si>
  <si>
    <t>Išmokos</t>
  </si>
  <si>
    <t>Darbo užmokesčio ir socialinio draudimo</t>
  </si>
  <si>
    <t>Komunalinių paslaugų ir ryšių</t>
  </si>
  <si>
    <t>Komandiruočių</t>
  </si>
  <si>
    <t>Transporto</t>
  </si>
  <si>
    <t>Kvalifikacijos kėlimo</t>
  </si>
  <si>
    <t>Paprastojo remonto ir eksploatavimo</t>
  </si>
  <si>
    <t>III.7</t>
  </si>
  <si>
    <t>Atsargų įsigijimo</t>
  </si>
  <si>
    <t>III.8</t>
  </si>
  <si>
    <t>Socialinių išmokų</t>
  </si>
  <si>
    <t>III.9</t>
  </si>
  <si>
    <t>Nuomos</t>
  </si>
  <si>
    <t>III.10</t>
  </si>
  <si>
    <t>Kitų paslaugų įsigijimo</t>
  </si>
  <si>
    <t>III.11</t>
  </si>
  <si>
    <t>Sumokėtos palūkanos</t>
  </si>
  <si>
    <t>III.12</t>
  </si>
  <si>
    <t>Kitos išmokos</t>
  </si>
  <si>
    <t>INVESTICINĖS VEIKLOS PINIGŲ SRAUTAI</t>
  </si>
  <si>
    <t>Ilgalaikio finansinio turto įsigijimas</t>
  </si>
  <si>
    <t>Ilgalaikio finansinio turto perleidimas:</t>
  </si>
  <si>
    <t>IV.3</t>
  </si>
  <si>
    <t>FINANSINĖS VEIKLOS PINIGŲ SRAUTAI</t>
  </si>
  <si>
    <t>Įplaukos iš gautų paskolų</t>
  </si>
  <si>
    <t>Gautų paskolų grąžinimas</t>
  </si>
  <si>
    <t>Finansinės nuomos (lizingo) įsipareigojimų apmokėjimas</t>
  </si>
  <si>
    <t>Gautos finansavimo sumos ilgalaikiam ir biologiniam turtui įsigyti:</t>
  </si>
  <si>
    <t>Iš ES, užsienio valstybių ir tarptautinių  organizacijų</t>
  </si>
  <si>
    <t>IV.4</t>
  </si>
  <si>
    <t xml:space="preserve">Grąžintos finansavimo sumos ilgalaikiam ir biologiniam turtui įsigyti </t>
  </si>
  <si>
    <t>Gauti dividendai</t>
  </si>
  <si>
    <t>VALIUTOS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</si>
  <si>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</si>
  <si>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</si>
  <si>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</si>
  <si>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 xml:space="preserve"> (parašas) </t>
  </si>
  <si>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</si>
  <si>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</si>
  <si>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</si>
  <si>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</si>
  <si>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patentai ir kitos licencijos (išskyrus nurodytus 4 stulpelyje)</t>
  </si>
  <si>
    <t>literatūros, mokslo ir meno kūriniai</t>
  </si>
  <si>
    <t>kitas nematerialusis turtas</t>
  </si>
  <si>
    <t>nebaigti projektai</t>
  </si>
  <si>
    <t>išankstiniai apmokėjimai</t>
  </si>
  <si>
    <t>Įsigijimo ar pasigaminimo savikaina ataskaitinio laikotarpio pradžioje</t>
  </si>
  <si>
    <t>Įsigijimai per ataskaitinį laikotarpį</t>
  </si>
  <si>
    <t>2.1.</t>
  </si>
  <si>
    <t>pirkto turto įsigijimo savikaina</t>
  </si>
  <si>
    <t>2.2.</t>
  </si>
  <si>
    <t>neatlygintinai gauto turto įsigijimo savikaina</t>
  </si>
  <si>
    <t>Parduoto, perduoto ir  nurašyto turto suma per ataskaitinį laikotarpį</t>
  </si>
  <si>
    <t>3.1.</t>
  </si>
  <si>
    <t>parduoto</t>
  </si>
  <si>
    <t>3.2.</t>
  </si>
  <si>
    <t>perduoto</t>
  </si>
  <si>
    <t>3.3.</t>
  </si>
  <si>
    <t>nurašyto</t>
  </si>
  <si>
    <t>Pergrupavimai (+/-)</t>
  </si>
  <si>
    <t>Įsigijimo ar pasigaminimo savikaina ataskaitinio laikotarpio pabaigoje (1+2-3+/-4)</t>
  </si>
  <si>
    <t>Sukaupta amortizacijos suma ataskaitinio laikotarpio pradžioje</t>
  </si>
  <si>
    <t>X</t>
  </si>
  <si>
    <t>Neatlygintinai gauto turto sukaupta amortizacijos suma**</t>
  </si>
  <si>
    <t xml:space="preserve"> Apskaičiuota amortizacijos suma per ataskaitinį laikotarpį</t>
  </si>
  <si>
    <t>Sukaupta  parduoto,  perduoto ir nurašyto turto amortizacijos suma</t>
  </si>
  <si>
    <t>9.1.</t>
  </si>
  <si>
    <t>9.2.</t>
  </si>
  <si>
    <t>9.3.</t>
  </si>
  <si>
    <t>Sukaupta amortizacijos suma ataskaitinio laikotarpio pabaigoje (6+7+8-9+/-10)</t>
  </si>
  <si>
    <t>Nuvertėjimo suma ataskaitinio laikotarpio pradžioje</t>
  </si>
  <si>
    <t>Neatlygintinai gauto turto sukaupta nuvertėjimo suma**</t>
  </si>
  <si>
    <t>Apskaičiuota nuvertėjimo suma per ataskaitinį laikotarpį</t>
  </si>
  <si>
    <t>Panaikinta nuvertėjimo suma per ataskaitinį laikotarpį</t>
  </si>
  <si>
    <t>Sukaupta parduoto, perduoto ir nurašyto turto nuvertėjimo suma</t>
  </si>
  <si>
    <t>16.1.</t>
  </si>
  <si>
    <t>16.2.</t>
  </si>
  <si>
    <t>16.3.</t>
  </si>
  <si>
    <t>18.</t>
  </si>
  <si>
    <t>Nuvertėjimo suma ataskaitinio laikotarpio pabaigoje (12+13+14-15-16+/-17)</t>
  </si>
  <si>
    <t>19.</t>
  </si>
  <si>
    <t>Nematerialiojo turto likutinė vertė ataskaitinio laikotarpio pabaigoje (5-11-18)</t>
  </si>
  <si>
    <t>20.</t>
  </si>
  <si>
    <t>Nematerialiojo turto likutinė vertė  ataskaitinio laikotarpio pradžioje (1-6-12)</t>
  </si>
  <si>
    <t xml:space="preserve"> * – Pažymėti ataskaitos laukai nepildomi.</t>
  </si>
  <si>
    <t>**– Kito subjekto sukaupta turto amortizacijos arba nuvertėjimo suma iki perdavimo.</t>
  </si>
  <si>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</si>
  <si>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</si>
  <si>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</si>
  <si>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</si>
  <si>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</si>
  <si>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</si>
  <si>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</si>
  <si>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</si>
  <si>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</si>
  <si>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</si>
  <si>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</si>
  <si>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</si>
  <si>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</si>
  <si>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</si>
  <si>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Įsigijimai per ataskaitinį laikotarpį (2.1+2.2)</t>
  </si>
  <si>
    <t xml:space="preserve">       </t>
  </si>
  <si>
    <t>Parduoto, perduoto ir  nurašyto turto suma per ataskaitinį laikotarpį (3.1+3.2+3.3)</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</si>
  <si>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</si>
  <si>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</si>
  <si>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</si>
  <si>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</si>
  <si>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Sukaupta nusidėvėjimo suma ataskaitinio laikotarpio pabaigoje (6+7+8-9+/-10)</t>
  </si>
  <si>
    <t xml:space="preserve">Apskaičiuota nuvertėjimo suma per ataskaitinį laikotarpį </t>
  </si>
  <si>
    <t>Sukaupta parduoto, perduoto ir nurašyto turto nuvertėjimo suma (16.1+16.2+16.3)</t>
  </si>
  <si>
    <r>
      <t>Nuvertėjimo suma ataskaitinio laikotarpio pabaigoje (12+13+14</t>
    </r>
    <r>
      <rPr>
        <b/>
        <strike/>
        <sz val="10"/>
        <rFont val="Times New Roman"/>
        <family val="1"/>
      </rPr>
      <t xml:space="preserve"> </t>
    </r>
    <r>
      <rPr>
        <b/>
        <sz val="10"/>
        <rFont val="Times New Roman"/>
        <family val="1"/>
      </rPr>
      <t xml:space="preserve">-15-16+/-17) </t>
    </r>
  </si>
  <si>
    <t xml:space="preserve">Tikroji vertė ataskaitinio laikotarpio pradžioje </t>
  </si>
  <si>
    <t>Neatlygintinai gauto turto iš kito subjekto sukauptos tikrosios vertės pokytis</t>
  </si>
  <si>
    <t>21.</t>
  </si>
  <si>
    <t>Tikrosios vertės pasikeitimo per ataskaitinį laikotarpį suma (+/-)</t>
  </si>
  <si>
    <t>22.</t>
  </si>
  <si>
    <t>Direktoriaus pavaduotojas,pavaduojantis direktorių</t>
  </si>
  <si>
    <t>Algirdas Bivainis</t>
  </si>
  <si>
    <t>(teisės aktais įpareigoto pasirašyti asmens pareigų pavadinimas)                (parašas)</t>
  </si>
  <si>
    <t xml:space="preserve">2011 M. INFORMACIJA PAGAL VEIKLOS SEGMENTUS </t>
  </si>
  <si>
    <t>Parduoto, perduoto ir nurašyto turto tikrosios vertės suma (22.1+22.2+22.3)</t>
  </si>
  <si>
    <t>22.1.</t>
  </si>
  <si>
    <t>22.2.</t>
  </si>
  <si>
    <t>22.3.</t>
  </si>
  <si>
    <t>23.</t>
  </si>
  <si>
    <t>24.</t>
  </si>
  <si>
    <t>Tikroji vertė ataskaitinio laikotarpio pabaigoje (19+20+/-21-22+/-23)</t>
  </si>
  <si>
    <t>25.</t>
  </si>
  <si>
    <t>Ilgalaikio materialiojo turto likutinė vertė ataskaitinio laikotarpio pabaigoje (5-11-18+ 24)</t>
  </si>
  <si>
    <t>26.</t>
  </si>
  <si>
    <t>Ilgalaikio materialiojo turto likutinė vertė ataskaitinio laikotarpio pradžioje (1-6-12+19)</t>
  </si>
  <si>
    <t>* - Pažymėti ataskaitos laukai nepildomi.</t>
  </si>
  <si>
    <t>**- Kito subjekto sukaupta turto nusidėvėjimo arba nuvertėjimo suma iki perdavimo.</t>
  </si>
  <si>
    <t>Straipsnio pavadinimas</t>
  </si>
  <si>
    <t>1.1.</t>
  </si>
  <si>
    <t>1.2.</t>
  </si>
  <si>
    <t>_____________________________</t>
  </si>
  <si>
    <t>17-ojo VSAFAS „Finansinis turtas ir finansiniai įsipareigojimai“</t>
  </si>
  <si>
    <t>4 priedas</t>
  </si>
  <si>
    <t>1.4.</t>
  </si>
  <si>
    <t>2.3.</t>
  </si>
  <si>
    <t>2.4.</t>
  </si>
  <si>
    <t>Per ataskaitinį laikotarpį</t>
  </si>
  <si>
    <t>1.5.</t>
  </si>
  <si>
    <t>2.5.</t>
  </si>
  <si>
    <t>3.4.</t>
  </si>
  <si>
    <t>3.5.</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</si>
</sst>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dd"/>
  </numFmts>
  <fonts count="50">
    <font>
      <sz val="10"/>
      <name val="Arial"/>
      <family val="0"/>
    </font>
    <font>
      <sz val="10"/>
      <name val="Times New Roman"/>
      <family val="1"/>
    </font>
    <font>
      <b/>
      <sz val="10"/>
      <name val="Times New Roman"/>
      <family val="1"/>
    </font>
    <font>
      <sz val="9"/>
      <name val="Times New Roman"/>
      <family val="1"/>
    </font>
    <font>
      <b/>
      <sz val="10"/>
      <name val="Arial"/>
      <family val="2"/>
    </font>
    <font>
      <i/>
      <sz val="10"/>
      <name val="Times New Roman"/>
      <family val="1"/>
    </font>
    <font>
      <strike/>
      <sz val="10"/>
      <name val="Times New Roman"/>
      <family val="1"/>
    </font>
    <font>
      <sz val="12"/>
      <name val="Times New Roman"/>
      <family val="1"/>
    </font>
    <font>
      <sz val="11"/>
      <name val="Times New Roman"/>
      <family val="1"/>
    </font>
    <font>
      <b/>
      <sz val="12"/>
      <name val="Times New Roman"/>
      <family val="1"/>
    </font>
    <font>
      <b/>
      <sz val="12"/>
      <color indexed="8"/>
      <name val="Times New Roman"/>
      <family val="1"/>
    </font>
    <font>
      <u val="single"/>
      <sz val="10"/>
      <color indexed="12"/>
      <name val="Arial"/>
      <family val="2"/>
    </font>
    <font>
      <sz val="9"/>
      <name val="Arial"/>
      <family val="2"/>
    </font>
    <font>
      <strike/>
      <sz val="10"/>
      <color indexed="10"/>
      <name val="Times New Roman"/>
      <family val="1"/>
    </font>
    <font>
      <sz val="10"/>
      <color indexed="10"/>
      <name val="Times New Roman"/>
      <family val="1"/>
    </font>
    <font>
      <b/>
      <sz val="11"/>
      <name val="Times New Roman"/>
      <family val="1"/>
    </font>
    <font>
      <b/>
      <strike/>
      <sz val="10"/>
      <name val="Times New Roman"/>
      <family val="1"/>
    </font>
    <font>
      <sz val="12"/>
      <name val="Arial"/>
      <family val="2"/>
    </font>
    <font>
      <sz val="11"/>
      <name val="Arial"/>
      <family val="2"/>
    </font>
    <font>
      <b/>
      <sz val="11"/>
      <name val="Arial"/>
      <family val="2"/>
    </font>
    <font>
      <strike/>
      <sz val="11"/>
      <name val="Times New Roman"/>
      <family val="1"/>
    </font>
    <font>
      <b/>
      <sz val="9"/>
      <name val="Times New Roman"/>
      <family val="1"/>
    </font>
    <font>
      <sz val="9"/>
      <name val="Times New (W1)"/>
      <family val="1"/>
    </font>
    <font>
      <b/>
      <strike/>
      <sz val="12"/>
      <name val="Times New Roman"/>
      <family val="1"/>
    </font>
    <font>
      <sz val="8"/>
      <name val="Times New Roman"/>
      <family val="1"/>
    </font>
    <font>
      <sz val="8"/>
      <name val="Arial"/>
      <family val="0"/>
    </font>
    <font>
      <i/>
      <sz val="11"/>
      <name val="Times New Roman"/>
      <family val="1"/>
    </font>
    <font>
      <u val="single"/>
      <sz val="10"/>
      <color indexed="12"/>
      <name val="Times New Roman"/>
      <family val="1"/>
    </font>
    <font>
      <u val="single"/>
      <sz val="10"/>
      <color indexed="36"/>
      <name val="Arial"/>
      <family val="0"/>
    </font>
    <font>
      <sz val="12"/>
      <color indexed="8"/>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u val="single"/>
      <sz val="11"/>
      <name val="Times New Roman"/>
      <family val="1"/>
    </font>
    <font>
      <u val="single"/>
      <sz val="10"/>
      <name val="Times New Roman"/>
      <family val="1"/>
    </font>
    <font>
      <u val="single"/>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3" fillId="0" borderId="3" applyNumberFormat="0" applyFill="0" applyAlignment="0" applyProtection="0"/>
    <xf numFmtId="0" fontId="33" fillId="0" borderId="0" applyNumberFormat="0" applyFill="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0" borderId="0" applyNumberFormat="0" applyFill="0" applyBorder="0" applyAlignment="0" applyProtection="0"/>
    <xf numFmtId="0" fontId="28" fillId="0" borderId="0" applyNumberFormat="0" applyFill="0" applyBorder="0" applyAlignment="0" applyProtection="0"/>
    <xf numFmtId="0" fontId="36" fillId="3" borderId="0" applyNumberFormat="0" applyBorder="0" applyAlignment="0" applyProtection="0"/>
    <xf numFmtId="0" fontId="37" fillId="4" borderId="0" applyNumberFormat="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39" fillId="16" borderId="4" applyNumberFormat="0" applyAlignment="0" applyProtection="0"/>
    <xf numFmtId="0" fontId="40" fillId="7"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17" borderId="0" applyNumberFormat="0" applyBorder="0" applyAlignment="0" applyProtection="0"/>
    <xf numFmtId="0" fontId="0" fillId="0" borderId="0">
      <alignment/>
      <protection/>
    </xf>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0" fillId="22" borderId="6" applyNumberFormat="0" applyFon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16" borderId="5"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23"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30">
    <xf numFmtId="0" fontId="0" fillId="0" borderId="0" xfId="0" applyAlignment="1">
      <alignment/>
    </xf>
    <xf numFmtId="0" fontId="1" fillId="24" borderId="0" xfId="0" applyFont="1" applyFill="1" applyBorder="1" applyAlignment="1">
      <alignment vertical="center"/>
    </xf>
    <xf numFmtId="0" fontId="1" fillId="24" borderId="0" xfId="0" applyFont="1" applyFill="1" applyBorder="1" applyAlignment="1">
      <alignment vertical="center" wrapText="1"/>
    </xf>
    <xf numFmtId="0" fontId="2" fillId="24" borderId="0" xfId="0" applyFont="1" applyFill="1" applyBorder="1" applyAlignment="1">
      <alignment vertical="center"/>
    </xf>
    <xf numFmtId="0" fontId="1" fillId="24" borderId="0" xfId="0" applyFont="1" applyFill="1" applyAlignment="1">
      <alignment vertical="center"/>
    </xf>
    <xf numFmtId="0" fontId="1" fillId="24" borderId="0" xfId="0" applyFont="1" applyFill="1" applyAlignment="1">
      <alignment vertical="center" wrapText="1"/>
    </xf>
    <xf numFmtId="0" fontId="1" fillId="24" borderId="0" xfId="0" applyFont="1" applyFill="1" applyBorder="1" applyAlignment="1">
      <alignment horizontal="center" vertical="center" wrapText="1"/>
    </xf>
    <xf numFmtId="0" fontId="2" fillId="24" borderId="0" xfId="0" applyFont="1" applyFill="1" applyAlignment="1">
      <alignment horizontal="center" vertical="center" wrapText="1"/>
    </xf>
    <xf numFmtId="0" fontId="4" fillId="24" borderId="0" xfId="0" applyFont="1" applyFill="1" applyAlignment="1">
      <alignment horizontal="center" vertical="center" wrapText="1"/>
    </xf>
    <xf numFmtId="0" fontId="4" fillId="24" borderId="0" xfId="0" applyFont="1" applyFill="1" applyAlignment="1">
      <alignment vertical="center" wrapText="1"/>
    </xf>
    <xf numFmtId="0" fontId="1" fillId="24"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49" fontId="2" fillId="24" borderId="11" xfId="0" applyNumberFormat="1" applyFont="1" applyFill="1" applyBorder="1" applyAlignment="1">
      <alignment horizontal="center" vertical="center" wrapText="1"/>
    </xf>
    <xf numFmtId="0" fontId="2" fillId="24" borderId="10" xfId="0" applyFont="1" applyFill="1" applyBorder="1" applyAlignment="1">
      <alignment horizontal="left" vertical="center"/>
    </xf>
    <xf numFmtId="0" fontId="2" fillId="24" borderId="11" xfId="0" applyFont="1" applyFill="1" applyBorder="1" applyAlignment="1">
      <alignment horizontal="left" vertical="center"/>
    </xf>
    <xf numFmtId="0" fontId="2" fillId="24" borderId="11" xfId="0" applyFont="1" applyFill="1" applyBorder="1" applyAlignment="1">
      <alignment horizontal="left" vertical="center" wrapText="1"/>
    </xf>
    <xf numFmtId="0" fontId="1" fillId="24" borderId="11" xfId="0" applyFont="1" applyFill="1" applyBorder="1" applyAlignment="1">
      <alignment horizontal="left" vertical="center" wrapText="1"/>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1" xfId="0" applyFont="1" applyFill="1" applyBorder="1" applyAlignment="1">
      <alignment horizontal="left" vertical="center"/>
    </xf>
    <xf numFmtId="0" fontId="1" fillId="24" borderId="12" xfId="0" applyFont="1" applyFill="1" applyBorder="1" applyAlignment="1">
      <alignment horizontal="left" vertical="center"/>
    </xf>
    <xf numFmtId="0" fontId="1" fillId="24" borderId="12" xfId="0" applyFont="1" applyFill="1" applyBorder="1" applyAlignment="1">
      <alignment horizontal="left" vertical="center" wrapText="1"/>
    </xf>
    <xf numFmtId="172" fontId="1" fillId="24" borderId="13" xfId="0" applyNumberFormat="1" applyFont="1" applyFill="1" applyBorder="1" applyAlignment="1">
      <alignment horizontal="left" vertical="center" wrapText="1"/>
    </xf>
    <xf numFmtId="0" fontId="1" fillId="24" borderId="13" xfId="0" applyFont="1" applyFill="1" applyBorder="1" applyAlignment="1">
      <alignment horizontal="left" vertical="center" wrapText="1"/>
    </xf>
    <xf numFmtId="172" fontId="1" fillId="24" borderId="10" xfId="0" applyNumberFormat="1" applyFont="1" applyFill="1" applyBorder="1" applyAlignment="1">
      <alignment horizontal="left" vertical="center" wrapText="1"/>
    </xf>
    <xf numFmtId="0" fontId="1" fillId="24" borderId="10" xfId="0" applyFont="1" applyFill="1" applyBorder="1" applyAlignment="1">
      <alignment horizontal="left" vertical="center" wrapText="1"/>
    </xf>
    <xf numFmtId="49" fontId="1" fillId="24" borderId="11" xfId="0" applyNumberFormat="1" applyFont="1" applyFill="1" applyBorder="1" applyAlignment="1">
      <alignment horizontal="center" vertical="center" wrapText="1"/>
    </xf>
    <xf numFmtId="0" fontId="1" fillId="24" borderId="13" xfId="0" applyFont="1" applyFill="1" applyBorder="1" applyAlignment="1">
      <alignment horizontal="left" vertical="center"/>
    </xf>
    <xf numFmtId="0" fontId="1" fillId="24" borderId="14" xfId="0" applyFont="1" applyFill="1" applyBorder="1" applyAlignment="1">
      <alignment horizontal="center" vertical="center" wrapText="1"/>
    </xf>
    <xf numFmtId="0" fontId="1" fillId="24" borderId="15" xfId="0" applyFont="1" applyFill="1" applyBorder="1" applyAlignment="1">
      <alignment horizontal="left" vertical="center"/>
    </xf>
    <xf numFmtId="0" fontId="1" fillId="24" borderId="16" xfId="0" applyFont="1" applyFill="1" applyBorder="1" applyAlignment="1">
      <alignment horizontal="left" vertical="center"/>
    </xf>
    <xf numFmtId="0" fontId="1" fillId="24" borderId="16"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wrapText="1"/>
    </xf>
    <xf numFmtId="0" fontId="1" fillId="24" borderId="10" xfId="0" applyFont="1" applyFill="1" applyBorder="1" applyAlignment="1">
      <alignment horizontal="left" vertical="center"/>
    </xf>
    <xf numFmtId="0" fontId="2" fillId="0" borderId="11"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7"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8" xfId="0"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left" vertical="center"/>
    </xf>
    <xf numFmtId="172"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6" fillId="24" borderId="11" xfId="0" applyFont="1" applyFill="1" applyBorder="1" applyAlignment="1">
      <alignment horizontal="left" vertical="center"/>
    </xf>
    <xf numFmtId="0" fontId="6" fillId="24" borderId="13" xfId="0" applyFont="1" applyFill="1" applyBorder="1" applyAlignment="1">
      <alignment horizontal="left" vertical="center" wrapText="1"/>
    </xf>
    <xf numFmtId="0" fontId="1" fillId="0" borderId="0" xfId="0" applyFont="1" applyFill="1" applyAlignment="1">
      <alignment vertical="center" wrapText="1"/>
    </xf>
    <xf numFmtId="0" fontId="1" fillId="24" borderId="17"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wrapText="1"/>
    </xf>
    <xf numFmtId="0" fontId="2" fillId="24" borderId="14" xfId="0" applyFont="1" applyFill="1" applyBorder="1" applyAlignment="1">
      <alignment horizontal="left" vertical="center"/>
    </xf>
    <xf numFmtId="0" fontId="2" fillId="24" borderId="18" xfId="0" applyFont="1" applyFill="1" applyBorder="1" applyAlignment="1">
      <alignment horizontal="left" vertical="center" wrapText="1"/>
    </xf>
    <xf numFmtId="0" fontId="2" fillId="24" borderId="0" xfId="0" applyFont="1" applyFill="1" applyBorder="1" applyAlignment="1">
      <alignment horizontal="left" vertical="center" wrapText="1"/>
    </xf>
    <xf numFmtId="0" fontId="1" fillId="24" borderId="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left" vertical="center"/>
    </xf>
    <xf numFmtId="0" fontId="9" fillId="0" borderId="10" xfId="0" applyFont="1" applyBorder="1" applyAlignment="1">
      <alignment horizontal="left" vertical="center"/>
    </xf>
    <xf numFmtId="0" fontId="7" fillId="0" borderId="10"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2" fillId="24" borderId="0" xfId="0" applyFont="1" applyFill="1" applyAlignment="1">
      <alignment/>
    </xf>
    <xf numFmtId="0" fontId="1" fillId="24" borderId="0" xfId="0" applyFont="1" applyFill="1" applyAlignment="1">
      <alignment horizontal="left"/>
    </xf>
    <xf numFmtId="0" fontId="1" fillId="24" borderId="0" xfId="0" applyFont="1" applyFill="1" applyAlignment="1">
      <alignment horizontal="right"/>
    </xf>
    <xf numFmtId="0" fontId="5" fillId="24" borderId="0" xfId="0" applyFont="1" applyFill="1" applyBorder="1" applyAlignment="1">
      <alignment/>
    </xf>
    <xf numFmtId="0" fontId="2"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0" xfId="0" applyFont="1" applyBorder="1" applyAlignment="1">
      <alignment horizontal="center" vertical="top"/>
    </xf>
    <xf numFmtId="0" fontId="2" fillId="0" borderId="10" xfId="0" applyFont="1" applyBorder="1" applyAlignment="1">
      <alignment vertical="top"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24" borderId="0" xfId="0" applyFont="1" applyFill="1" applyAlignment="1">
      <alignment wrapText="1"/>
    </xf>
    <xf numFmtId="0" fontId="12" fillId="0" borderId="0" xfId="0" applyFont="1" applyAlignment="1">
      <alignment vertical="center"/>
    </xf>
    <xf numFmtId="0" fontId="3" fillId="24" borderId="0" xfId="0" applyFont="1" applyFill="1" applyBorder="1" applyAlignment="1">
      <alignment vertical="center"/>
    </xf>
    <xf numFmtId="0" fontId="2" fillId="24" borderId="10" xfId="0" applyFont="1" applyFill="1" applyBorder="1" applyAlignment="1">
      <alignment horizontal="center" vertical="center"/>
    </xf>
    <xf numFmtId="0" fontId="1" fillId="0" borderId="0" xfId="0" applyFont="1" applyAlignment="1">
      <alignment/>
    </xf>
    <xf numFmtId="0" fontId="1" fillId="0" borderId="13" xfId="0" applyFont="1" applyBorder="1" applyAlignment="1">
      <alignment/>
    </xf>
    <xf numFmtId="0" fontId="6" fillId="24" borderId="12" xfId="0" applyFont="1" applyFill="1" applyBorder="1" applyAlignment="1">
      <alignment horizontal="left" vertical="center" wrapText="1"/>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xf>
    <xf numFmtId="0" fontId="2" fillId="0" borderId="13" xfId="0" applyFont="1" applyFill="1" applyBorder="1" applyAlignment="1">
      <alignment/>
    </xf>
    <xf numFmtId="0" fontId="2" fillId="0" borderId="12" xfId="0" applyFont="1" applyFill="1" applyBorder="1" applyAlignment="1">
      <alignment horizontal="left" vertical="center"/>
    </xf>
    <xf numFmtId="0" fontId="2" fillId="0" borderId="13" xfId="0" applyFont="1" applyBorder="1" applyAlignment="1">
      <alignment/>
    </xf>
    <xf numFmtId="0" fontId="2" fillId="24" borderId="12" xfId="0" applyFont="1" applyFill="1" applyBorder="1" applyAlignment="1">
      <alignment horizontal="left" vertical="center" wrapText="1"/>
    </xf>
    <xf numFmtId="0" fontId="0" fillId="0" borderId="12" xfId="0" applyBorder="1" applyAlignment="1">
      <alignment horizontal="left" vertical="center" wrapText="1"/>
    </xf>
    <xf numFmtId="0" fontId="1" fillId="0" borderId="13" xfId="0" applyFont="1" applyBorder="1" applyAlignment="1">
      <alignment/>
    </xf>
    <xf numFmtId="0" fontId="2" fillId="24" borderId="16" xfId="0" applyFont="1" applyFill="1" applyBorder="1" applyAlignment="1">
      <alignment horizontal="left" vertical="center"/>
    </xf>
    <xf numFmtId="0" fontId="13" fillId="24" borderId="13" xfId="0" applyFont="1" applyFill="1" applyBorder="1" applyAlignment="1">
      <alignment horizontal="left" vertical="center"/>
    </xf>
    <xf numFmtId="0" fontId="14" fillId="24" borderId="13" xfId="0" applyFont="1" applyFill="1" applyBorder="1" applyAlignment="1">
      <alignment horizontal="left" vertical="center"/>
    </xf>
    <xf numFmtId="0" fontId="1" fillId="0" borderId="11" xfId="0" applyFont="1" applyBorder="1" applyAlignment="1">
      <alignment/>
    </xf>
    <xf numFmtId="0" fontId="6" fillId="24"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6" fillId="24" borderId="1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1" fillId="24" borderId="0" xfId="0" applyFont="1" applyFill="1" applyAlignment="1">
      <alignment horizontal="left" vertical="center"/>
    </xf>
    <xf numFmtId="0" fontId="1" fillId="24" borderId="0" xfId="0" applyFont="1" applyFill="1" applyAlignment="1">
      <alignment horizontal="center" vertical="top" wrapText="1"/>
    </xf>
    <xf numFmtId="0" fontId="1" fillId="24" borderId="0" xfId="0" applyFont="1" applyFill="1" applyAlignment="1">
      <alignment/>
    </xf>
    <xf numFmtId="0" fontId="1" fillId="24" borderId="10" xfId="0" applyFont="1" applyFill="1" applyBorder="1" applyAlignment="1">
      <alignment horizontal="center" vertical="center"/>
    </xf>
    <xf numFmtId="0" fontId="1" fillId="24" borderId="11" xfId="0" applyFont="1" applyFill="1" applyBorder="1" applyAlignment="1">
      <alignment/>
    </xf>
    <xf numFmtId="0" fontId="1" fillId="24" borderId="13" xfId="0" applyFont="1" applyFill="1" applyBorder="1" applyAlignment="1">
      <alignment/>
    </xf>
    <xf numFmtId="0" fontId="1" fillId="24" borderId="12" xfId="0" applyFont="1" applyFill="1" applyBorder="1" applyAlignment="1">
      <alignment horizontal="center" wrapText="1"/>
    </xf>
    <xf numFmtId="0" fontId="1" fillId="24" borderId="10" xfId="0" applyFont="1" applyFill="1" applyBorder="1" applyAlignment="1">
      <alignment horizontal="center" vertical="top" wrapText="1"/>
    </xf>
    <xf numFmtId="0" fontId="2" fillId="24" borderId="11" xfId="0" applyFont="1" applyFill="1" applyBorder="1" applyAlignment="1">
      <alignment horizontal="center" vertical="center"/>
    </xf>
    <xf numFmtId="0" fontId="2" fillId="24" borderId="11" xfId="0" applyFont="1" applyFill="1" applyBorder="1" applyAlignment="1">
      <alignment horizontal="left"/>
    </xf>
    <xf numFmtId="0" fontId="2" fillId="24" borderId="12" xfId="0" applyFont="1" applyFill="1" applyBorder="1" applyAlignment="1">
      <alignment horizontal="left" wrapText="1" indent="1"/>
    </xf>
    <xf numFmtId="49" fontId="1" fillId="24" borderId="11" xfId="0" applyNumberFormat="1" applyFont="1" applyFill="1" applyBorder="1" applyAlignment="1">
      <alignment horizontal="center" vertical="center"/>
    </xf>
    <xf numFmtId="0" fontId="1" fillId="24" borderId="11" xfId="0" applyFont="1" applyFill="1" applyBorder="1" applyAlignment="1">
      <alignment horizontal="left"/>
    </xf>
    <xf numFmtId="0" fontId="1" fillId="24" borderId="12" xfId="0" applyFont="1" applyFill="1" applyBorder="1" applyAlignment="1">
      <alignment wrapText="1"/>
    </xf>
    <xf numFmtId="49" fontId="1" fillId="24" borderId="10" xfId="0" applyNumberFormat="1" applyFont="1" applyFill="1" applyBorder="1" applyAlignment="1">
      <alignment horizontal="center" vertical="center"/>
    </xf>
    <xf numFmtId="0" fontId="1" fillId="24" borderId="11" xfId="0" applyFont="1" applyFill="1" applyBorder="1" applyAlignment="1">
      <alignment/>
    </xf>
    <xf numFmtId="0" fontId="2" fillId="24" borderId="11" xfId="0" applyFont="1" applyFill="1" applyBorder="1" applyAlignment="1">
      <alignment/>
    </xf>
    <xf numFmtId="0" fontId="2" fillId="24" borderId="12" xfId="0" applyFont="1" applyFill="1" applyBorder="1" applyAlignment="1">
      <alignment/>
    </xf>
    <xf numFmtId="0" fontId="2" fillId="24" borderId="12" xfId="0" applyFont="1" applyFill="1" applyBorder="1" applyAlignment="1">
      <alignment wrapText="1"/>
    </xf>
    <xf numFmtId="0" fontId="2" fillId="24" borderId="17" xfId="0" applyFont="1" applyFill="1" applyBorder="1" applyAlignment="1">
      <alignment horizontal="left" wrapText="1"/>
    </xf>
    <xf numFmtId="172" fontId="1" fillId="24" borderId="10" xfId="0" applyNumberFormat="1" applyFont="1" applyFill="1" applyBorder="1" applyAlignment="1">
      <alignment horizontal="center" vertical="center" wrapText="1"/>
    </xf>
    <xf numFmtId="0" fontId="1" fillId="24" borderId="13" xfId="0" applyFont="1" applyFill="1" applyBorder="1" applyAlignment="1">
      <alignment horizontal="left" wrapText="1"/>
    </xf>
    <xf numFmtId="0" fontId="1" fillId="0" borderId="12" xfId="0" applyFont="1" applyBorder="1" applyAlignment="1">
      <alignment wrapText="1"/>
    </xf>
    <xf numFmtId="0" fontId="1" fillId="24" borderId="12" xfId="0" applyFont="1" applyFill="1" applyBorder="1" applyAlignment="1">
      <alignment/>
    </xf>
    <xf numFmtId="0" fontId="2" fillId="24" borderId="12" xfId="0" applyFont="1" applyFill="1" applyBorder="1" applyAlignment="1">
      <alignment horizontal="left"/>
    </xf>
    <xf numFmtId="0" fontId="1" fillId="24" borderId="0" xfId="0" applyFont="1" applyFill="1" applyAlignment="1">
      <alignment/>
    </xf>
    <xf numFmtId="0" fontId="0" fillId="24" borderId="0" xfId="0" applyFill="1" applyAlignment="1">
      <alignment vertical="center"/>
    </xf>
    <xf numFmtId="0" fontId="1" fillId="24" borderId="0" xfId="0" applyFont="1" applyFill="1" applyAlignment="1">
      <alignment horizontal="right" vertical="center"/>
    </xf>
    <xf numFmtId="0" fontId="1"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Border="1" applyAlignment="1">
      <alignment vertical="center"/>
    </xf>
    <xf numFmtId="172" fontId="1" fillId="0" borderId="10" xfId="0" applyNumberFormat="1" applyFont="1" applyFill="1" applyBorder="1" applyAlignment="1">
      <alignment horizontal="center" vertical="center"/>
    </xf>
    <xf numFmtId="0" fontId="1" fillId="0" borderId="11" xfId="0" applyFont="1" applyFill="1" applyBorder="1" applyAlignment="1">
      <alignment vertical="center" wrapText="1"/>
    </xf>
    <xf numFmtId="0" fontId="0" fillId="0" borderId="13" xfId="0" applyFont="1" applyBorder="1" applyAlignment="1">
      <alignment vertical="center"/>
    </xf>
    <xf numFmtId="0" fontId="1" fillId="0" borderId="12" xfId="0" applyFont="1" applyBorder="1" applyAlignment="1">
      <alignment vertical="center" wrapText="1"/>
    </xf>
    <xf numFmtId="0" fontId="1" fillId="0" borderId="10" xfId="0" applyFont="1" applyFill="1" applyBorder="1" applyAlignment="1">
      <alignment horizontal="center" vertical="center"/>
    </xf>
    <xf numFmtId="0" fontId="0" fillId="0" borderId="11"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18" xfId="0" applyFont="1" applyFill="1" applyBorder="1" applyAlignment="1">
      <alignment vertical="center" wrapText="1"/>
    </xf>
    <xf numFmtId="0" fontId="1" fillId="25" borderId="0" xfId="0" applyFont="1" applyFill="1" applyAlignment="1">
      <alignment vertical="center"/>
    </xf>
    <xf numFmtId="0" fontId="2" fillId="0" borderId="0" xfId="0" applyFont="1" applyFill="1" applyBorder="1" applyAlignment="1">
      <alignment horizontal="left" vertical="center" wrapText="1"/>
    </xf>
    <xf numFmtId="0" fontId="9" fillId="24" borderId="0" xfId="0" applyFont="1" applyFill="1" applyAlignment="1">
      <alignment horizontal="center" vertical="center" wrapText="1"/>
    </xf>
    <xf numFmtId="0" fontId="1" fillId="0" borderId="0" xfId="0" applyFont="1" applyBorder="1" applyAlignment="1">
      <alignment horizontal="left" vertical="center" wrapText="1"/>
    </xf>
    <xf numFmtId="0" fontId="15" fillId="0" borderId="0" xfId="0" applyFont="1" applyAlignment="1">
      <alignment vertical="center"/>
    </xf>
    <xf numFmtId="0" fontId="15" fillId="0" borderId="10" xfId="0" applyFont="1" applyBorder="1" applyAlignment="1">
      <alignment horizontal="center" vertical="center" wrapText="1"/>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0" xfId="0" applyFont="1" applyFill="1" applyAlignment="1">
      <alignment horizontal="left" vertical="center"/>
    </xf>
    <xf numFmtId="0" fontId="8" fillId="0" borderId="10" xfId="0" applyFont="1" applyBorder="1" applyAlignment="1">
      <alignment horizontal="left" vertical="center" wrapText="1"/>
    </xf>
    <xf numFmtId="0" fontId="1" fillId="0" borderId="0" xfId="0" applyFont="1" applyBorder="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0" fillId="24" borderId="0" xfId="0" applyFont="1" applyFill="1" applyAlignment="1">
      <alignment/>
    </xf>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horizontal="left" wrapText="1" inden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indent="1"/>
    </xf>
    <xf numFmtId="0" fontId="0" fillId="24" borderId="0" xfId="0" applyFont="1" applyFill="1" applyBorder="1" applyAlignment="1">
      <alignment/>
    </xf>
    <xf numFmtId="0" fontId="3" fillId="24" borderId="0" xfId="0" applyFont="1" applyFill="1" applyAlignment="1">
      <alignment/>
    </xf>
    <xf numFmtId="0" fontId="9" fillId="0" borderId="0" xfId="0" applyFont="1" applyFill="1" applyAlignment="1">
      <alignment horizontal="center" vertical="center" wrapText="1"/>
    </xf>
    <xf numFmtId="0" fontId="0" fillId="0" borderId="0" xfId="0" applyFill="1" applyAlignment="1">
      <alignment vertical="center"/>
    </xf>
    <xf numFmtId="0" fontId="18" fillId="0" borderId="0" xfId="0" applyFont="1" applyFill="1" applyAlignment="1">
      <alignment vertical="center"/>
    </xf>
    <xf numFmtId="0" fontId="1" fillId="25" borderId="0" xfId="0" applyFont="1" applyFill="1" applyAlignment="1">
      <alignment horizontal="left" vertical="center"/>
    </xf>
    <xf numFmtId="0" fontId="0" fillId="0" borderId="0" xfId="0" applyFont="1" applyAlignment="1">
      <alignment horizontal="left" vertical="center"/>
    </xf>
    <xf numFmtId="0" fontId="18" fillId="0" borderId="0" xfId="0" applyFont="1" applyFill="1" applyAlignment="1">
      <alignment horizontal="left" vertical="center"/>
    </xf>
    <xf numFmtId="0" fontId="0" fillId="0" borderId="0" xfId="0" applyFont="1" applyAlignment="1">
      <alignment vertical="center"/>
    </xf>
    <xf numFmtId="0" fontId="15" fillId="0" borderId="0" xfId="0" applyFont="1" applyFill="1" applyAlignment="1">
      <alignment horizontal="center" vertical="center" wrapText="1"/>
    </xf>
    <xf numFmtId="0" fontId="15"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8" fillId="0" borderId="24" xfId="0" applyFont="1" applyFill="1" applyBorder="1" applyAlignment="1">
      <alignment horizontal="center" vertical="top" wrapText="1"/>
    </xf>
    <xf numFmtId="0" fontId="8" fillId="0" borderId="25" xfId="0" applyFont="1" applyFill="1" applyBorder="1" applyAlignment="1">
      <alignment vertical="top" wrapText="1"/>
    </xf>
    <xf numFmtId="16" fontId="8" fillId="0" borderId="23" xfId="0" applyNumberFormat="1" applyFont="1" applyFill="1" applyBorder="1" applyAlignment="1" quotePrefix="1">
      <alignment horizontal="center" vertical="center"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2"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4" fillId="0" borderId="0" xfId="0" applyFont="1" applyFill="1" applyAlignment="1">
      <alignment vertical="center"/>
    </xf>
    <xf numFmtId="0" fontId="8" fillId="0" borderId="24" xfId="0" applyFont="1" applyFill="1" applyBorder="1" applyAlignment="1">
      <alignment horizontal="center" vertical="center" wrapText="1"/>
    </xf>
    <xf numFmtId="0" fontId="0" fillId="0" borderId="0" xfId="0" applyFont="1" applyFill="1" applyAlignment="1">
      <alignment horizontal="left" vertical="center"/>
    </xf>
    <xf numFmtId="0" fontId="1" fillId="0" borderId="12" xfId="0" applyFont="1" applyFill="1" applyBorder="1" applyAlignment="1">
      <alignment vertical="center" wrapText="1"/>
    </xf>
    <xf numFmtId="16" fontId="1" fillId="0" borderId="10" xfId="0" applyNumberFormat="1"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2" fillId="0" borderId="26" xfId="0" applyFont="1" applyFill="1" applyBorder="1" applyAlignment="1">
      <alignment vertical="center" wrapText="1"/>
    </xf>
    <xf numFmtId="0" fontId="8" fillId="0" borderId="0" xfId="0" applyFont="1" applyAlignment="1">
      <alignment horizontal="center" vertical="center"/>
    </xf>
    <xf numFmtId="49" fontId="1" fillId="0" borderId="14" xfId="0" applyNumberFormat="1" applyFont="1" applyFill="1" applyBorder="1" applyAlignment="1">
      <alignment horizontal="center" vertical="center" wrapText="1"/>
    </xf>
    <xf numFmtId="0" fontId="8" fillId="0" borderId="22" xfId="0" applyFont="1" applyBorder="1" applyAlignment="1">
      <alignment vertical="center"/>
    </xf>
    <xf numFmtId="0" fontId="18" fillId="0" borderId="0" xfId="0" applyFont="1" applyFill="1" applyAlignment="1">
      <alignment horizontal="left" vertical="center"/>
    </xf>
    <xf numFmtId="0" fontId="24" fillId="0" borderId="0" xfId="0" applyFont="1" applyFill="1" applyAlignment="1">
      <alignment horizontal="left" vertical="center"/>
    </xf>
    <xf numFmtId="0" fontId="2" fillId="0" borderId="10" xfId="0" applyFont="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Alignment="1">
      <alignment horizontal="center" vertical="center"/>
    </xf>
    <xf numFmtId="0" fontId="8" fillId="0" borderId="25" xfId="0" applyFont="1" applyFill="1" applyBorder="1" applyAlignment="1">
      <alignment vertical="center" wrapText="1"/>
    </xf>
    <xf numFmtId="0" fontId="0" fillId="0" borderId="0" xfId="0" applyFont="1" applyAlignment="1">
      <alignment vertical="center"/>
    </xf>
    <xf numFmtId="0" fontId="2" fillId="24" borderId="0" xfId="0" applyFont="1" applyFill="1" applyAlignment="1">
      <alignment horizontal="right" vertical="center"/>
    </xf>
    <xf numFmtId="0" fontId="1" fillId="24" borderId="0" xfId="0" applyFont="1" applyFill="1" applyAlignment="1">
      <alignment horizontal="center" vertical="center"/>
    </xf>
    <xf numFmtId="0" fontId="1" fillId="0" borderId="14"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0" fillId="0" borderId="11" xfId="0" applyFont="1" applyBorder="1" applyAlignment="1">
      <alignment vertical="center"/>
    </xf>
    <xf numFmtId="0" fontId="1" fillId="0" borderId="12" xfId="0" applyFont="1" applyFill="1" applyBorder="1" applyAlignment="1">
      <alignment wrapText="1"/>
    </xf>
    <xf numFmtId="0" fontId="1" fillId="0" borderId="11" xfId="0" applyNumberFormat="1" applyFont="1" applyBorder="1" applyAlignment="1">
      <alignment horizontal="center" vertical="center" wrapText="1"/>
    </xf>
    <xf numFmtId="0" fontId="1" fillId="0" borderId="18" xfId="0" applyFont="1" applyBorder="1" applyAlignment="1">
      <alignment horizontal="left" vertical="center" wrapText="1"/>
    </xf>
    <xf numFmtId="0" fontId="1" fillId="0" borderId="12" xfId="0" applyFont="1" applyBorder="1" applyAlignment="1">
      <alignment/>
    </xf>
    <xf numFmtId="0" fontId="1" fillId="0" borderId="0" xfId="0"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Border="1" applyAlignment="1">
      <alignment/>
    </xf>
    <xf numFmtId="0" fontId="1" fillId="24" borderId="12" xfId="0" applyFont="1" applyFill="1" applyBorder="1" applyAlignment="1">
      <alignment/>
    </xf>
    <xf numFmtId="0" fontId="1" fillId="24" borderId="10" xfId="0" applyFont="1" applyFill="1" applyBorder="1" applyAlignment="1">
      <alignment horizontal="left" wrapText="1" indent="1"/>
    </xf>
    <xf numFmtId="49" fontId="1" fillId="0" borderId="10" xfId="0" applyNumberFormat="1" applyFont="1" applyBorder="1" applyAlignment="1">
      <alignment/>
    </xf>
    <xf numFmtId="49" fontId="1" fillId="0" borderId="17" xfId="0" applyNumberFormat="1" applyFont="1" applyBorder="1" applyAlignment="1">
      <alignment/>
    </xf>
    <xf numFmtId="49" fontId="1" fillId="24" borderId="19" xfId="0" applyNumberFormat="1" applyFont="1" applyFill="1" applyBorder="1" applyAlignment="1">
      <alignment/>
    </xf>
    <xf numFmtId="0" fontId="1" fillId="0" borderId="20" xfId="0" applyFont="1" applyBorder="1" applyAlignment="1">
      <alignment wrapText="1"/>
    </xf>
    <xf numFmtId="49" fontId="1" fillId="24" borderId="14" xfId="0" applyNumberFormat="1" applyFont="1" applyFill="1" applyBorder="1" applyAlignment="1">
      <alignment/>
    </xf>
    <xf numFmtId="49" fontId="1" fillId="24" borderId="11" xfId="0" applyNumberFormat="1" applyFont="1" applyFill="1" applyBorder="1" applyAlignment="1">
      <alignment/>
    </xf>
    <xf numFmtId="49" fontId="1" fillId="24" borderId="12" xfId="0" applyNumberFormat="1" applyFont="1" applyFill="1" applyBorder="1" applyAlignment="1">
      <alignment/>
    </xf>
    <xf numFmtId="49" fontId="1" fillId="24" borderId="10" xfId="0" applyNumberFormat="1" applyFont="1" applyFill="1" applyBorder="1" applyAlignment="1">
      <alignment/>
    </xf>
    <xf numFmtId="0" fontId="1" fillId="24" borderId="10" xfId="0" applyFont="1" applyFill="1" applyBorder="1" applyAlignment="1">
      <alignment wrapText="1"/>
    </xf>
    <xf numFmtId="49" fontId="1" fillId="24" borderId="10" xfId="0" applyNumberFormat="1" applyFont="1" applyFill="1" applyBorder="1" applyAlignment="1">
      <alignment vertical="center"/>
    </xf>
    <xf numFmtId="0" fontId="1" fillId="0" borderId="10" xfId="0" applyFont="1" applyBorder="1" applyAlignment="1">
      <alignment wrapText="1"/>
    </xf>
    <xf numFmtId="49" fontId="2" fillId="0" borderId="10" xfId="0" applyNumberFormat="1" applyFont="1" applyFill="1" applyBorder="1" applyAlignment="1">
      <alignment horizontal="left" vertical="center"/>
    </xf>
    <xf numFmtId="0" fontId="1" fillId="0" borderId="12" xfId="0" applyFont="1" applyBorder="1" applyAlignment="1">
      <alignment vertical="top" wrapText="1"/>
    </xf>
    <xf numFmtId="49" fontId="1" fillId="0" borderId="11" xfId="0" applyNumberFormat="1" applyFont="1" applyBorder="1" applyAlignment="1">
      <alignment/>
    </xf>
    <xf numFmtId="49" fontId="1" fillId="24" borderId="13" xfId="0" applyNumberFormat="1" applyFont="1" applyFill="1" applyBorder="1" applyAlignment="1">
      <alignment/>
    </xf>
    <xf numFmtId="49" fontId="1" fillId="0" borderId="10" xfId="0" applyNumberFormat="1" applyFont="1" applyFill="1" applyBorder="1" applyAlignment="1">
      <alignment/>
    </xf>
    <xf numFmtId="0" fontId="24" fillId="24" borderId="0" xfId="0" applyFont="1" applyFill="1" applyBorder="1" applyAlignment="1">
      <alignment/>
    </xf>
    <xf numFmtId="0" fontId="24" fillId="0" borderId="0" xfId="0" applyFont="1" applyAlignment="1">
      <alignment vertical="center"/>
    </xf>
    <xf numFmtId="0" fontId="1" fillId="0" borderId="0" xfId="0" applyFont="1" applyAlignment="1">
      <alignment horizontal="center"/>
    </xf>
    <xf numFmtId="0" fontId="1" fillId="0" borderId="0" xfId="0" applyFont="1" applyAlignment="1">
      <alignment/>
    </xf>
    <xf numFmtId="0" fontId="1" fillId="0" borderId="0" xfId="0" applyFont="1" applyAlignment="1">
      <alignment wrapText="1"/>
    </xf>
    <xf numFmtId="0" fontId="2" fillId="26" borderId="10" xfId="0" applyFont="1" applyFill="1" applyBorder="1" applyAlignment="1">
      <alignment horizontal="center" vertical="center" wrapText="1"/>
    </xf>
    <xf numFmtId="0" fontId="2" fillId="26" borderId="10" xfId="0" applyFont="1" applyFill="1" applyBorder="1" applyAlignment="1">
      <alignment horizontal="left" vertical="center"/>
    </xf>
    <xf numFmtId="0" fontId="2" fillId="26" borderId="11" xfId="0" applyFont="1" applyFill="1" applyBorder="1" applyAlignment="1">
      <alignment horizontal="left" vertical="center"/>
    </xf>
    <xf numFmtId="0" fontId="2" fillId="26" borderId="11" xfId="0" applyFont="1" applyFill="1" applyBorder="1" applyAlignment="1">
      <alignment horizontal="left" vertical="center" wrapText="1"/>
    </xf>
    <xf numFmtId="0" fontId="1" fillId="26" borderId="11" xfId="0" applyFont="1" applyFill="1" applyBorder="1" applyAlignment="1">
      <alignment horizontal="left" vertical="center" wrapText="1"/>
    </xf>
    <xf numFmtId="0" fontId="1" fillId="26" borderId="10" xfId="0" applyFont="1" applyFill="1" applyBorder="1" applyAlignment="1">
      <alignment horizontal="center" vertical="center" wrapText="1"/>
    </xf>
    <xf numFmtId="0" fontId="1" fillId="26" borderId="27" xfId="0" applyFont="1" applyFill="1" applyBorder="1" applyAlignment="1">
      <alignment horizontal="left" vertical="center"/>
    </xf>
    <xf numFmtId="0" fontId="6" fillId="26" borderId="17" xfId="0" applyFont="1" applyFill="1" applyBorder="1" applyAlignment="1">
      <alignment horizontal="left" vertical="center"/>
    </xf>
    <xf numFmtId="0" fontId="6" fillId="26" borderId="17" xfId="0" applyFont="1" applyFill="1" applyBorder="1" applyAlignment="1">
      <alignment horizontal="left" vertical="center" wrapText="1"/>
    </xf>
    <xf numFmtId="0" fontId="1" fillId="26" borderId="14" xfId="0" applyFont="1" applyFill="1" applyBorder="1" applyAlignment="1">
      <alignment horizontal="center" vertical="center" wrapText="1"/>
    </xf>
    <xf numFmtId="0" fontId="1" fillId="26" borderId="15" xfId="0" applyFont="1" applyFill="1" applyBorder="1" applyAlignment="1">
      <alignment horizontal="left" vertical="center"/>
    </xf>
    <xf numFmtId="0" fontId="1" fillId="26" borderId="16" xfId="0" applyFont="1" applyFill="1" applyBorder="1" applyAlignment="1">
      <alignment horizontal="left" vertical="center"/>
    </xf>
    <xf numFmtId="0" fontId="1" fillId="26" borderId="16" xfId="0" applyFont="1" applyFill="1" applyBorder="1" applyAlignment="1">
      <alignment horizontal="left" vertical="center" wrapText="1"/>
    </xf>
    <xf numFmtId="0" fontId="1" fillId="26" borderId="10" xfId="0" applyFont="1" applyFill="1" applyBorder="1" applyAlignment="1">
      <alignment horizontal="left" vertical="center" wrapText="1"/>
    </xf>
    <xf numFmtId="0" fontId="2" fillId="22" borderId="10" xfId="0" applyFont="1" applyFill="1" applyBorder="1" applyAlignment="1">
      <alignment horizontal="center" vertical="center" wrapText="1"/>
    </xf>
    <xf numFmtId="0" fontId="2" fillId="22" borderId="10" xfId="0" applyFont="1" applyFill="1" applyBorder="1" applyAlignment="1">
      <alignment horizontal="left" vertical="center"/>
    </xf>
    <xf numFmtId="0" fontId="2" fillId="22" borderId="11" xfId="0" applyFont="1" applyFill="1" applyBorder="1" applyAlignment="1">
      <alignment horizontal="left" vertical="center"/>
    </xf>
    <xf numFmtId="0" fontId="2" fillId="22" borderId="11" xfId="0" applyFont="1" applyFill="1" applyBorder="1" applyAlignment="1">
      <alignment horizontal="left" vertical="center" wrapText="1"/>
    </xf>
    <xf numFmtId="0" fontId="1" fillId="22" borderId="10" xfId="0" applyFont="1" applyFill="1" applyBorder="1" applyAlignment="1">
      <alignment horizontal="center" vertical="center" wrapText="1"/>
    </xf>
    <xf numFmtId="0" fontId="1" fillId="22" borderId="27" xfId="0" applyFont="1" applyFill="1" applyBorder="1" applyAlignment="1">
      <alignment horizontal="left" vertical="center"/>
    </xf>
    <xf numFmtId="0" fontId="1" fillId="22" borderId="17" xfId="0" applyFont="1" applyFill="1" applyBorder="1" applyAlignment="1">
      <alignment horizontal="left" vertical="center"/>
    </xf>
    <xf numFmtId="0" fontId="1" fillId="22" borderId="17" xfId="0" applyFont="1" applyFill="1" applyBorder="1" applyAlignment="1">
      <alignment horizontal="left" vertical="center" wrapText="1"/>
    </xf>
    <xf numFmtId="0" fontId="2" fillId="26" borderId="28" xfId="0" applyFont="1" applyFill="1" applyBorder="1" applyAlignment="1">
      <alignment horizontal="center" vertical="center" wrapText="1"/>
    </xf>
    <xf numFmtId="0" fontId="2" fillId="26" borderId="28" xfId="0" applyFont="1" applyFill="1" applyBorder="1" applyAlignment="1">
      <alignment horizontal="left" vertical="center"/>
    </xf>
    <xf numFmtId="0" fontId="2" fillId="26" borderId="29" xfId="0" applyFont="1" applyFill="1" applyBorder="1" applyAlignment="1">
      <alignment horizontal="left" vertical="center"/>
    </xf>
    <xf numFmtId="0" fontId="2" fillId="26" borderId="29" xfId="0" applyFont="1" applyFill="1" applyBorder="1" applyAlignment="1">
      <alignment horizontal="left" vertical="center" wrapText="1"/>
    </xf>
    <xf numFmtId="0" fontId="2" fillId="26" borderId="28" xfId="0" applyFont="1" applyFill="1" applyBorder="1" applyAlignment="1">
      <alignment horizontal="left" vertical="center" wrapText="1"/>
    </xf>
    <xf numFmtId="0" fontId="2" fillId="26" borderId="14" xfId="0" applyFont="1" applyFill="1" applyBorder="1" applyAlignment="1">
      <alignment horizontal="center" vertical="center" wrapText="1"/>
    </xf>
    <xf numFmtId="0" fontId="2" fillId="26" borderId="14" xfId="0" applyFont="1" applyFill="1" applyBorder="1" applyAlignment="1">
      <alignment horizontal="left" vertical="center"/>
    </xf>
    <xf numFmtId="0" fontId="2" fillId="26" borderId="14" xfId="0" applyFont="1" applyFill="1" applyBorder="1" applyAlignment="1">
      <alignment horizontal="left" vertical="center" wrapText="1"/>
    </xf>
    <xf numFmtId="0" fontId="1" fillId="26" borderId="14" xfId="0" applyFont="1" applyFill="1" applyBorder="1" applyAlignment="1">
      <alignment horizontal="left" vertical="center" wrapText="1"/>
    </xf>
    <xf numFmtId="0" fontId="1" fillId="26" borderId="17" xfId="0" applyFont="1" applyFill="1" applyBorder="1" applyAlignment="1">
      <alignment horizontal="left" vertical="center"/>
    </xf>
    <xf numFmtId="0" fontId="1" fillId="26" borderId="17" xfId="0" applyFont="1" applyFill="1" applyBorder="1" applyAlignment="1">
      <alignment horizontal="left" vertical="center" wrapText="1"/>
    </xf>
    <xf numFmtId="0" fontId="1" fillId="22" borderId="15" xfId="0" applyFont="1" applyFill="1" applyBorder="1" applyAlignment="1">
      <alignment horizontal="left" vertical="center"/>
    </xf>
    <xf numFmtId="0" fontId="1" fillId="22" borderId="16" xfId="0" applyFont="1" applyFill="1" applyBorder="1" applyAlignment="1">
      <alignment horizontal="left" vertical="center"/>
    </xf>
    <xf numFmtId="0" fontId="1" fillId="22" borderId="16" xfId="0" applyFont="1" applyFill="1" applyBorder="1" applyAlignment="1">
      <alignment horizontal="left" vertical="center" wrapText="1"/>
    </xf>
    <xf numFmtId="0" fontId="1" fillId="22" borderId="10" xfId="0" applyFont="1" applyFill="1" applyBorder="1" applyAlignment="1">
      <alignment horizontal="left" vertical="center" wrapText="1"/>
    </xf>
    <xf numFmtId="0" fontId="1" fillId="26" borderId="18" xfId="0" applyFont="1" applyFill="1" applyBorder="1" applyAlignment="1">
      <alignment horizontal="center" vertical="center" wrapText="1"/>
    </xf>
    <xf numFmtId="0" fontId="1" fillId="22" borderId="30" xfId="0" applyFont="1" applyFill="1" applyBorder="1" applyAlignment="1">
      <alignment horizontal="left" vertical="center"/>
    </xf>
    <xf numFmtId="0" fontId="1" fillId="22" borderId="0"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18" xfId="0" applyFont="1" applyFill="1" applyBorder="1" applyAlignment="1">
      <alignment horizontal="left" vertical="center"/>
    </xf>
    <xf numFmtId="0" fontId="2" fillId="26" borderId="18" xfId="0" applyFont="1" applyFill="1" applyBorder="1" applyAlignment="1">
      <alignment horizontal="left" vertical="center" wrapText="1"/>
    </xf>
    <xf numFmtId="172" fontId="1" fillId="26" borderId="10" xfId="0" applyNumberFormat="1" applyFont="1" applyFill="1" applyBorder="1" applyAlignment="1">
      <alignment horizontal="left" vertical="center" wrapText="1"/>
    </xf>
    <xf numFmtId="0" fontId="1" fillId="24" borderId="0" xfId="0" applyFont="1" applyFill="1" applyBorder="1" applyAlignment="1">
      <alignment horizontal="center"/>
    </xf>
    <xf numFmtId="0" fontId="7" fillId="24" borderId="0" xfId="0" applyFont="1" applyFill="1" applyBorder="1" applyAlignment="1">
      <alignment horizontal="center"/>
    </xf>
    <xf numFmtId="0" fontId="2" fillId="22" borderId="10" xfId="0" applyFont="1" applyFill="1" applyBorder="1" applyAlignment="1">
      <alignment horizontal="center" vertical="center"/>
    </xf>
    <xf numFmtId="0" fontId="9" fillId="22" borderId="10" xfId="0" applyFont="1" applyFill="1" applyBorder="1" applyAlignment="1">
      <alignment horizontal="left" vertical="center"/>
    </xf>
    <xf numFmtId="0" fontId="9" fillId="22" borderId="10" xfId="0" applyFont="1" applyFill="1" applyBorder="1" applyAlignment="1">
      <alignment vertical="center"/>
    </xf>
    <xf numFmtId="0" fontId="7" fillId="22" borderId="10" xfId="0" applyFont="1" applyFill="1" applyBorder="1" applyAlignment="1">
      <alignment vertical="center" wrapText="1"/>
    </xf>
    <xf numFmtId="0" fontId="9" fillId="22" borderId="10" xfId="0" applyFont="1" applyFill="1" applyBorder="1" applyAlignment="1">
      <alignment vertical="center" wrapText="1"/>
    </xf>
    <xf numFmtId="0" fontId="1" fillId="26" borderId="11" xfId="0" applyFont="1" applyFill="1" applyBorder="1" applyAlignment="1">
      <alignment horizontal="center" vertical="center" wrapText="1"/>
    </xf>
    <xf numFmtId="0" fontId="1" fillId="26" borderId="12" xfId="0" applyFont="1" applyFill="1" applyBorder="1" applyAlignment="1">
      <alignment horizontal="left" vertical="center"/>
    </xf>
    <xf numFmtId="0" fontId="2" fillId="26" borderId="13" xfId="0" applyFont="1" applyFill="1" applyBorder="1" applyAlignment="1">
      <alignment horizontal="left" vertical="center" wrapText="1"/>
    </xf>
    <xf numFmtId="0" fontId="7" fillId="22" borderId="10" xfId="0" applyFont="1" applyFill="1" applyBorder="1" applyAlignment="1">
      <alignment horizontal="left" vertical="center"/>
    </xf>
    <xf numFmtId="0" fontId="1" fillId="22" borderId="10" xfId="0" applyFont="1" applyFill="1" applyBorder="1" applyAlignment="1">
      <alignment horizontal="center"/>
    </xf>
    <xf numFmtId="0" fontId="1" fillId="24" borderId="0" xfId="0" applyFont="1" applyFill="1" applyAlignment="1">
      <alignment horizontal="center"/>
    </xf>
    <xf numFmtId="0" fontId="7" fillId="0" borderId="0" xfId="0" applyFont="1" applyAlignment="1">
      <alignment/>
    </xf>
    <xf numFmtId="0" fontId="27" fillId="0" borderId="0" xfId="41" applyNumberFormat="1" applyFont="1" applyFill="1" applyBorder="1" applyAlignment="1" applyProtection="1">
      <alignment/>
      <protection/>
    </xf>
    <xf numFmtId="0" fontId="9" fillId="24" borderId="0" xfId="0" applyFont="1" applyFill="1" applyAlignment="1">
      <alignment horizontal="center"/>
    </xf>
    <xf numFmtId="0" fontId="1" fillId="24" borderId="0" xfId="0" applyFont="1" applyFill="1" applyBorder="1" applyAlignment="1">
      <alignment horizontal="left"/>
    </xf>
    <xf numFmtId="0" fontId="1" fillId="24" borderId="0" xfId="0" applyFont="1" applyFill="1" applyBorder="1" applyAlignment="1">
      <alignment/>
    </xf>
    <xf numFmtId="0" fontId="1" fillId="0" borderId="10" xfId="0" applyFont="1" applyBorder="1" applyAlignment="1">
      <alignment vertical="top" wrapText="1"/>
    </xf>
    <xf numFmtId="0" fontId="2" fillId="22" borderId="10" xfId="0" applyFont="1" applyFill="1" applyBorder="1" applyAlignment="1">
      <alignment vertical="center" wrapText="1"/>
    </xf>
    <xf numFmtId="0" fontId="2" fillId="22" borderId="10" xfId="0" applyFont="1" applyFill="1" applyBorder="1" applyAlignment="1">
      <alignment vertical="top" wrapText="1"/>
    </xf>
    <xf numFmtId="0" fontId="1" fillId="22" borderId="0" xfId="0" applyFont="1" applyFill="1" applyAlignment="1">
      <alignment/>
    </xf>
    <xf numFmtId="0" fontId="7" fillId="22" borderId="0" xfId="0" applyFont="1" applyFill="1" applyAlignment="1">
      <alignment/>
    </xf>
    <xf numFmtId="0" fontId="7" fillId="22" borderId="11" xfId="0" applyFont="1" applyFill="1" applyBorder="1" applyAlignment="1">
      <alignment/>
    </xf>
    <xf numFmtId="0" fontId="1" fillId="22" borderId="13" xfId="0" applyFont="1" applyFill="1" applyBorder="1" applyAlignment="1">
      <alignment/>
    </xf>
    <xf numFmtId="0" fontId="2" fillId="26" borderId="13" xfId="0" applyFont="1" applyFill="1" applyBorder="1" applyAlignment="1">
      <alignment horizontal="left" vertical="center"/>
    </xf>
    <xf numFmtId="0" fontId="6" fillId="26" borderId="12" xfId="0" applyFont="1" applyFill="1" applyBorder="1" applyAlignment="1">
      <alignment horizontal="left" vertical="center" wrapText="1"/>
    </xf>
    <xf numFmtId="0" fontId="2" fillId="26" borderId="27" xfId="0" applyFont="1" applyFill="1" applyBorder="1" applyAlignment="1">
      <alignment horizontal="center" vertical="center" wrapText="1"/>
    </xf>
    <xf numFmtId="0" fontId="2" fillId="26" borderId="10" xfId="0" applyFont="1" applyFill="1" applyBorder="1" applyAlignment="1">
      <alignment horizontal="center" vertical="center"/>
    </xf>
    <xf numFmtId="0" fontId="1" fillId="26" borderId="13" xfId="0" applyFont="1" applyFill="1" applyBorder="1" applyAlignment="1">
      <alignment horizontal="center" vertical="center" wrapText="1"/>
    </xf>
    <xf numFmtId="172" fontId="1" fillId="24" borderId="13" xfId="0" applyNumberFormat="1" applyFont="1" applyFill="1" applyBorder="1" applyAlignment="1">
      <alignment horizontal="center" vertical="center" wrapText="1"/>
    </xf>
    <xf numFmtId="172" fontId="1" fillId="26" borderId="10" xfId="0" applyNumberFormat="1" applyFont="1" applyFill="1" applyBorder="1" applyAlignment="1">
      <alignment horizontal="center" vertical="center" wrapText="1"/>
    </xf>
    <xf numFmtId="0" fontId="1" fillId="24" borderId="12" xfId="0" applyFont="1" applyFill="1" applyBorder="1" applyAlignment="1">
      <alignment horizontal="center" vertical="center" wrapText="1"/>
    </xf>
    <xf numFmtId="0" fontId="2" fillId="26" borderId="11" xfId="0" applyFont="1" applyFill="1" applyBorder="1" applyAlignment="1">
      <alignment horizontal="center" vertical="center"/>
    </xf>
    <xf numFmtId="0" fontId="2" fillId="26" borderId="11" xfId="0" applyFont="1" applyFill="1" applyBorder="1" applyAlignment="1">
      <alignment horizontal="left"/>
    </xf>
    <xf numFmtId="0" fontId="2" fillId="26" borderId="13" xfId="0" applyFont="1" applyFill="1" applyBorder="1" applyAlignment="1">
      <alignment/>
    </xf>
    <xf numFmtId="0" fontId="2" fillId="26" borderId="12" xfId="0" applyFont="1" applyFill="1" applyBorder="1" applyAlignment="1">
      <alignment horizontal="left" wrapText="1" indent="1"/>
    </xf>
    <xf numFmtId="0" fontId="2" fillId="26" borderId="14" xfId="0" applyFont="1" applyFill="1" applyBorder="1" applyAlignment="1">
      <alignment horizontal="center" vertical="center"/>
    </xf>
    <xf numFmtId="0" fontId="2" fillId="26" borderId="16" xfId="0" applyFont="1" applyFill="1" applyBorder="1" applyAlignment="1">
      <alignment wrapText="1"/>
    </xf>
    <xf numFmtId="0" fontId="1" fillId="22" borderId="11" xfId="0" applyFont="1" applyFill="1" applyBorder="1" applyAlignment="1">
      <alignment horizontal="center" vertical="center"/>
    </xf>
    <xf numFmtId="0" fontId="0" fillId="22" borderId="11" xfId="0" applyFill="1" applyBorder="1" applyAlignment="1">
      <alignment vertical="center"/>
    </xf>
    <xf numFmtId="0" fontId="1" fillId="22" borderId="10" xfId="0" applyFont="1" applyFill="1" applyBorder="1" applyAlignment="1">
      <alignment horizontal="center" vertical="center"/>
    </xf>
    <xf numFmtId="0" fontId="0" fillId="22" borderId="11" xfId="0" applyFont="1" applyFill="1" applyBorder="1" applyAlignment="1">
      <alignment horizontal="center" vertical="center"/>
    </xf>
    <xf numFmtId="0" fontId="15" fillId="22" borderId="10" xfId="0" applyFont="1" applyFill="1" applyBorder="1" applyAlignment="1">
      <alignment horizontal="center" vertical="center" wrapText="1"/>
    </xf>
    <xf numFmtId="0" fontId="1" fillId="22" borderId="10" xfId="0" applyFont="1" applyFill="1" applyBorder="1" applyAlignment="1">
      <alignment horizontal="center" vertical="center" wrapText="1"/>
    </xf>
    <xf numFmtId="0" fontId="15" fillId="22" borderId="10" xfId="0" applyFont="1" applyFill="1" applyBorder="1" applyAlignment="1">
      <alignment horizontal="left" vertical="center" wrapText="1"/>
    </xf>
    <xf numFmtId="0" fontId="8" fillId="22" borderId="10" xfId="0" applyFont="1" applyFill="1" applyBorder="1" applyAlignment="1">
      <alignment horizontal="center" vertical="center" wrapText="1"/>
    </xf>
    <xf numFmtId="0" fontId="15" fillId="22" borderId="23" xfId="0" applyFont="1" applyFill="1" applyBorder="1" applyAlignment="1">
      <alignment horizontal="center" vertical="center" wrapText="1"/>
    </xf>
    <xf numFmtId="0" fontId="1" fillId="22" borderId="23" xfId="0" applyFont="1" applyFill="1" applyBorder="1" applyAlignment="1">
      <alignment horizontal="center" vertical="center" wrapText="1"/>
    </xf>
    <xf numFmtId="0" fontId="21" fillId="22" borderId="10" xfId="0" applyFont="1" applyFill="1" applyBorder="1" applyAlignment="1">
      <alignment horizontal="center" vertical="center" wrapText="1"/>
    </xf>
    <xf numFmtId="0" fontId="3" fillId="22" borderId="10" xfId="0" applyFont="1" applyFill="1" applyBorder="1" applyAlignment="1">
      <alignment horizont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left" wrapText="1"/>
    </xf>
    <xf numFmtId="0" fontId="3" fillId="22" borderId="10" xfId="0" applyFont="1" applyFill="1" applyBorder="1" applyAlignment="1">
      <alignment horizontal="center" vertical="center" wrapText="1"/>
    </xf>
    <xf numFmtId="0" fontId="3" fillId="22" borderId="10" xfId="0" applyFont="1" applyFill="1" applyBorder="1" applyAlignment="1">
      <alignment horizontal="left" wrapText="1"/>
    </xf>
    <xf numFmtId="0" fontId="21" fillId="26" borderId="10" xfId="0" applyFont="1" applyFill="1" applyBorder="1" applyAlignment="1">
      <alignment horizontal="left" wrapText="1"/>
    </xf>
    <xf numFmtId="0" fontId="3" fillId="22" borderId="10" xfId="0" applyFont="1" applyFill="1" applyBorder="1" applyAlignment="1">
      <alignment horizontal="left" vertical="top" wrapText="1"/>
    </xf>
    <xf numFmtId="0" fontId="21" fillId="22" borderId="10" xfId="0" applyFont="1" applyFill="1" applyBorder="1" applyAlignment="1">
      <alignment horizontal="left" vertical="top" wrapText="1"/>
    </xf>
    <xf numFmtId="0" fontId="2" fillId="22" borderId="23" xfId="0" applyFont="1" applyFill="1" applyBorder="1" applyAlignment="1">
      <alignment horizontal="center" vertical="center" wrapText="1"/>
    </xf>
    <xf numFmtId="0" fontId="2" fillId="22" borderId="10" xfId="0" applyFont="1" applyFill="1" applyBorder="1" applyAlignment="1">
      <alignment horizontal="center" vertical="center" wrapText="1"/>
    </xf>
    <xf numFmtId="0" fontId="2" fillId="22" borderId="27" xfId="0" applyFont="1" applyFill="1" applyBorder="1" applyAlignment="1">
      <alignment horizontal="center" vertical="center" wrapText="1"/>
    </xf>
    <xf numFmtId="0" fontId="2" fillId="0" borderId="0" xfId="0" applyFont="1" applyAlignment="1">
      <alignment horizontal="center" vertical="center" wrapText="1"/>
    </xf>
    <xf numFmtId="0" fontId="2" fillId="0" borderId="12" xfId="0" applyFont="1" applyFill="1" applyBorder="1" applyAlignment="1">
      <alignment horizontal="center" vertical="center" wrapText="1"/>
    </xf>
    <xf numFmtId="0" fontId="8" fillId="22" borderId="10" xfId="0" applyFont="1" applyFill="1" applyBorder="1" applyAlignment="1">
      <alignment horizontal="left" vertical="center" wrapText="1"/>
    </xf>
    <xf numFmtId="0" fontId="1" fillId="22" borderId="10" xfId="0" applyFont="1" applyFill="1" applyBorder="1" applyAlignment="1">
      <alignment horizontal="center"/>
    </xf>
    <xf numFmtId="0" fontId="2" fillId="22" borderId="10" xfId="0" applyFont="1" applyFill="1" applyBorder="1" applyAlignment="1">
      <alignment/>
    </xf>
    <xf numFmtId="0" fontId="2" fillId="22" borderId="20" xfId="0" applyFont="1" applyFill="1" applyBorder="1" applyAlignment="1">
      <alignment/>
    </xf>
    <xf numFmtId="172" fontId="1" fillId="22" borderId="11" xfId="0" applyNumberFormat="1" applyFont="1" applyFill="1" applyBorder="1" applyAlignment="1">
      <alignment/>
    </xf>
    <xf numFmtId="172" fontId="1" fillId="26" borderId="11" xfId="0" applyNumberFormat="1" applyFont="1" applyFill="1" applyBorder="1" applyAlignment="1">
      <alignment/>
    </xf>
    <xf numFmtId="172" fontId="1" fillId="26" borderId="13" xfId="0" applyNumberFormat="1" applyFont="1" applyFill="1" applyBorder="1" applyAlignment="1">
      <alignment/>
    </xf>
    <xf numFmtId="0" fontId="1" fillId="22" borderId="12" xfId="0" applyFont="1" applyFill="1" applyBorder="1" applyAlignment="1">
      <alignment wrapText="1"/>
    </xf>
    <xf numFmtId="0" fontId="24" fillId="0" borderId="0" xfId="0" applyFont="1" applyBorder="1" applyAlignment="1">
      <alignment/>
    </xf>
    <xf numFmtId="0" fontId="2" fillId="24" borderId="0" xfId="0" applyFont="1" applyFill="1" applyAlignment="1">
      <alignment horizontal="center"/>
    </xf>
    <xf numFmtId="0" fontId="2" fillId="22" borderId="0" xfId="0" applyFont="1" applyFill="1" applyAlignment="1">
      <alignment/>
    </xf>
    <xf numFmtId="0" fontId="6" fillId="24" borderId="10" xfId="0" applyFont="1" applyFill="1" applyBorder="1" applyAlignment="1">
      <alignment wrapText="1"/>
    </xf>
    <xf numFmtId="0" fontId="7" fillId="0" borderId="0" xfId="0" applyFont="1" applyAlignment="1">
      <alignment vertical="center"/>
    </xf>
    <xf numFmtId="0" fontId="0" fillId="0" borderId="31" xfId="0" applyBorder="1" applyAlignment="1">
      <alignment/>
    </xf>
    <xf numFmtId="0" fontId="8" fillId="0" borderId="32" xfId="0" applyFont="1" applyBorder="1" applyAlignment="1">
      <alignment vertical="center"/>
    </xf>
    <xf numFmtId="0" fontId="8" fillId="0" borderId="0" xfId="0" applyFont="1" applyBorder="1" applyAlignment="1">
      <alignment vertical="center"/>
    </xf>
    <xf numFmtId="0" fontId="8" fillId="0" borderId="33" xfId="0" applyFont="1" applyBorder="1" applyAlignment="1">
      <alignment vertical="center"/>
    </xf>
    <xf numFmtId="0" fontId="9" fillId="0" borderId="0" xfId="0" applyFont="1" applyAlignment="1">
      <alignment vertical="center"/>
    </xf>
    <xf numFmtId="0" fontId="8" fillId="0" borderId="3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NumberFormat="1" applyFont="1" applyBorder="1" applyAlignment="1">
      <alignment horizontal="center" vertical="center" wrapText="1"/>
    </xf>
    <xf numFmtId="0" fontId="7" fillId="0" borderId="32" xfId="0" applyFont="1" applyBorder="1" applyAlignment="1">
      <alignment horizontal="left" vertical="center" wrapText="1"/>
    </xf>
    <xf numFmtId="0" fontId="8" fillId="0" borderId="37" xfId="0" applyFont="1" applyBorder="1" applyAlignment="1">
      <alignment vertical="center"/>
    </xf>
    <xf numFmtId="0" fontId="8" fillId="0" borderId="38" xfId="0" applyFont="1" applyBorder="1" applyAlignment="1">
      <alignment vertical="center"/>
    </xf>
    <xf numFmtId="0" fontId="8" fillId="0" borderId="36" xfId="0" applyFont="1" applyBorder="1" applyAlignment="1">
      <alignment horizontal="center" vertical="center" wrapText="1"/>
    </xf>
    <xf numFmtId="0" fontId="8" fillId="0" borderId="32" xfId="0" applyFont="1" applyBorder="1" applyAlignment="1">
      <alignment horizontal="center" vertical="center"/>
    </xf>
    <xf numFmtId="0" fontId="9" fillId="22" borderId="32" xfId="0" applyFont="1" applyFill="1" applyBorder="1" applyAlignment="1">
      <alignment horizontal="left"/>
    </xf>
    <xf numFmtId="0" fontId="0" fillId="0" borderId="0" xfId="0" applyFont="1" applyAlignment="1">
      <alignment/>
    </xf>
    <xf numFmtId="0" fontId="29" fillId="0" borderId="0" xfId="0" applyFont="1" applyAlignment="1">
      <alignment vertical="center"/>
    </xf>
    <xf numFmtId="2" fontId="1" fillId="26" borderId="10" xfId="0" applyNumberFormat="1" applyFont="1" applyFill="1" applyBorder="1" applyAlignment="1">
      <alignment horizontal="center" vertical="center" wrapText="1"/>
    </xf>
    <xf numFmtId="2" fontId="2" fillId="26" borderId="10" xfId="0" applyNumberFormat="1" applyFont="1" applyFill="1" applyBorder="1" applyAlignment="1">
      <alignment vertical="center" wrapText="1"/>
    </xf>
    <xf numFmtId="2" fontId="1" fillId="26" borderId="10" xfId="0" applyNumberFormat="1" applyFont="1" applyFill="1" applyBorder="1" applyAlignment="1">
      <alignment vertical="center" wrapText="1"/>
    </xf>
    <xf numFmtId="2" fontId="1" fillId="24" borderId="10" xfId="0" applyNumberFormat="1" applyFont="1" applyFill="1" applyBorder="1" applyAlignment="1">
      <alignment vertical="center" wrapText="1"/>
    </xf>
    <xf numFmtId="2" fontId="2" fillId="24" borderId="10" xfId="0" applyNumberFormat="1" applyFont="1" applyFill="1" applyBorder="1" applyAlignment="1">
      <alignment vertical="center" wrapText="1"/>
    </xf>
    <xf numFmtId="2" fontId="1" fillId="0" borderId="10" xfId="0" applyNumberFormat="1" applyFont="1" applyFill="1" applyBorder="1" applyAlignment="1">
      <alignment vertical="center"/>
    </xf>
    <xf numFmtId="2" fontId="2" fillId="26" borderId="28" xfId="0" applyNumberFormat="1" applyFont="1" applyFill="1" applyBorder="1" applyAlignment="1">
      <alignment vertical="center" wrapText="1"/>
    </xf>
    <xf numFmtId="2" fontId="2" fillId="26" borderId="14" xfId="0" applyNumberFormat="1" applyFont="1" applyFill="1" applyBorder="1" applyAlignment="1">
      <alignment vertical="center" wrapText="1"/>
    </xf>
    <xf numFmtId="2" fontId="1" fillId="24" borderId="14" xfId="0" applyNumberFormat="1" applyFont="1" applyFill="1" applyBorder="1" applyAlignment="1">
      <alignment vertical="center" wrapText="1"/>
    </xf>
    <xf numFmtId="2" fontId="1" fillId="22" borderId="10" xfId="0" applyNumberFormat="1" applyFont="1" applyFill="1" applyBorder="1" applyAlignment="1">
      <alignment vertical="center" wrapText="1"/>
    </xf>
    <xf numFmtId="2" fontId="9" fillId="22" borderId="10" xfId="0" applyNumberFormat="1" applyFont="1" applyFill="1" applyBorder="1" applyAlignment="1">
      <alignment vertical="center"/>
    </xf>
    <xf numFmtId="2" fontId="9" fillId="0" borderId="10" xfId="0" applyNumberFormat="1" applyFont="1" applyBorder="1" applyAlignment="1">
      <alignment vertical="center" wrapText="1"/>
    </xf>
    <xf numFmtId="2" fontId="9" fillId="0" borderId="10" xfId="0" applyNumberFormat="1" applyFont="1" applyBorder="1" applyAlignment="1">
      <alignment vertical="center"/>
    </xf>
    <xf numFmtId="2" fontId="7" fillId="0" borderId="10" xfId="0" applyNumberFormat="1" applyFont="1" applyBorder="1" applyAlignment="1">
      <alignment vertical="center"/>
    </xf>
    <xf numFmtId="2" fontId="7" fillId="0" borderId="10" xfId="0" applyNumberFormat="1" applyFont="1" applyBorder="1" applyAlignment="1">
      <alignment vertical="center" wrapText="1"/>
    </xf>
    <xf numFmtId="2" fontId="1" fillId="22" borderId="10" xfId="0" applyNumberFormat="1" applyFont="1" applyFill="1" applyBorder="1" applyAlignment="1">
      <alignment horizontal="center"/>
    </xf>
    <xf numFmtId="2" fontId="1"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2" fontId="1" fillId="22" borderId="10" xfId="0" applyNumberFormat="1" applyFont="1" applyFill="1" applyBorder="1" applyAlignment="1">
      <alignment horizontal="center" vertical="center" wrapText="1"/>
    </xf>
    <xf numFmtId="2" fontId="2" fillId="22" borderId="10" xfId="0" applyNumberFormat="1" applyFont="1" applyFill="1" applyBorder="1" applyAlignment="1">
      <alignment horizontal="center" vertical="center" wrapText="1"/>
    </xf>
    <xf numFmtId="2" fontId="2" fillId="22" borderId="10" xfId="0" applyNumberFormat="1" applyFont="1" applyFill="1" applyBorder="1" applyAlignment="1">
      <alignment horizontal="center"/>
    </xf>
    <xf numFmtId="2" fontId="1" fillId="24"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24" borderId="10" xfId="0" applyNumberFormat="1" applyFont="1" applyFill="1" applyBorder="1" applyAlignment="1">
      <alignment horizontal="center" vertical="top" wrapText="1"/>
    </xf>
    <xf numFmtId="2" fontId="1" fillId="26" borderId="10" xfId="0" applyNumberFormat="1" applyFont="1" applyFill="1" applyBorder="1" applyAlignment="1">
      <alignment horizontal="center" vertical="top" wrapText="1"/>
    </xf>
    <xf numFmtId="2" fontId="1" fillId="24"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top" wrapText="1"/>
    </xf>
    <xf numFmtId="2" fontId="1" fillId="22" borderId="12" xfId="0" applyNumberFormat="1" applyFont="1" applyFill="1" applyBorder="1" applyAlignment="1">
      <alignment horizontal="center" vertical="center" wrapText="1"/>
    </xf>
    <xf numFmtId="2" fontId="1" fillId="0" borderId="12"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2" fontId="6" fillId="24" borderId="10" xfId="0" applyNumberFormat="1" applyFont="1" applyFill="1" applyBorder="1" applyAlignment="1">
      <alignment horizontal="center" vertical="center" wrapText="1"/>
    </xf>
    <xf numFmtId="2" fontId="3" fillId="25" borderId="10" xfId="0" applyNumberFormat="1" applyFont="1" applyFill="1" applyBorder="1" applyAlignment="1">
      <alignment horizontal="center" wrapText="1"/>
    </xf>
    <xf numFmtId="2" fontId="21" fillId="22" borderId="10" xfId="0" applyNumberFormat="1" applyFont="1" applyFill="1" applyBorder="1" applyAlignment="1">
      <alignment horizontal="center" wrapText="1"/>
    </xf>
    <xf numFmtId="2" fontId="3" fillId="22" borderId="10" xfId="0" applyNumberFormat="1" applyFont="1" applyFill="1" applyBorder="1" applyAlignment="1">
      <alignment horizontal="center" wrapText="1"/>
    </xf>
    <xf numFmtId="2" fontId="3" fillId="0" borderId="10" xfId="0" applyNumberFormat="1" applyFont="1" applyBorder="1" applyAlignment="1">
      <alignment horizontal="center" wrapText="1"/>
    </xf>
    <xf numFmtId="2" fontId="21" fillId="0" borderId="10" xfId="0" applyNumberFormat="1" applyFont="1" applyBorder="1" applyAlignment="1">
      <alignment horizontal="center" wrapText="1"/>
    </xf>
    <xf numFmtId="2" fontId="21" fillId="22" borderId="12" xfId="0" applyNumberFormat="1" applyFont="1" applyFill="1" applyBorder="1" applyAlignment="1">
      <alignment horizontal="center" wrapText="1"/>
    </xf>
    <xf numFmtId="2" fontId="15" fillId="22" borderId="23"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15" fillId="0" borderId="23" xfId="0" applyNumberFormat="1" applyFont="1" applyFill="1" applyBorder="1" applyAlignment="1">
      <alignment horizontal="center" vertical="center" wrapText="1"/>
    </xf>
    <xf numFmtId="2" fontId="1" fillId="22" borderId="23" xfId="0" applyNumberFormat="1" applyFont="1" applyFill="1" applyBorder="1" applyAlignment="1">
      <alignment horizontal="center" wrapText="1"/>
    </xf>
    <xf numFmtId="2" fontId="1" fillId="0" borderId="23" xfId="0" applyNumberFormat="1" applyFont="1" applyFill="1" applyBorder="1" applyAlignment="1">
      <alignment horizontal="center" wrapText="1"/>
    </xf>
    <xf numFmtId="2" fontId="2" fillId="0" borderId="23" xfId="0" applyNumberFormat="1" applyFont="1" applyFill="1" applyBorder="1" applyAlignment="1">
      <alignment horizontal="center" wrapText="1"/>
    </xf>
    <xf numFmtId="2" fontId="2" fillId="22" borderId="23" xfId="0" applyNumberFormat="1" applyFont="1" applyFill="1" applyBorder="1" applyAlignment="1">
      <alignment horizontal="center" wrapText="1"/>
    </xf>
    <xf numFmtId="2" fontId="2" fillId="22"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2" fontId="2" fillId="22" borderId="27" xfId="0" applyNumberFormat="1" applyFont="1" applyFill="1" applyBorder="1" applyAlignment="1">
      <alignment horizontal="center" wrapText="1"/>
    </xf>
    <xf numFmtId="2" fontId="8" fillId="22" borderId="10" xfId="0" applyNumberFormat="1" applyFont="1" applyFill="1" applyBorder="1" applyAlignment="1">
      <alignment horizontal="center" wrapText="1"/>
    </xf>
    <xf numFmtId="2" fontId="8" fillId="0" borderId="10" xfId="0" applyNumberFormat="1" applyFont="1" applyBorder="1" applyAlignment="1">
      <alignment horizontal="center" wrapText="1"/>
    </xf>
    <xf numFmtId="2" fontId="15" fillId="0" borderId="10" xfId="0" applyNumberFormat="1" applyFont="1" applyBorder="1" applyAlignment="1">
      <alignment horizontal="center" vertical="center" wrapText="1"/>
    </xf>
    <xf numFmtId="2" fontId="15" fillId="22" borderId="10" xfId="0" applyNumberFormat="1" applyFont="1" applyFill="1" applyBorder="1" applyAlignment="1">
      <alignment horizontal="center" vertical="center" wrapText="1"/>
    </xf>
    <xf numFmtId="2" fontId="15" fillId="22" borderId="23" xfId="0" applyNumberFormat="1" applyFont="1" applyFill="1" applyBorder="1" applyAlignment="1">
      <alignment horizontal="center" wrapText="1"/>
    </xf>
    <xf numFmtId="2" fontId="15" fillId="0" borderId="23" xfId="0" applyNumberFormat="1" applyFont="1" applyFill="1" applyBorder="1" applyAlignment="1">
      <alignment horizontal="center" wrapText="1"/>
    </xf>
    <xf numFmtId="2" fontId="1" fillId="22" borderId="10" xfId="0" applyNumberFormat="1" applyFont="1" applyFill="1" applyBorder="1" applyAlignment="1">
      <alignment horizontal="center" vertical="center" wrapText="1"/>
    </xf>
    <xf numFmtId="2" fontId="1" fillId="0" borderId="10" xfId="0" applyNumberFormat="1" applyFont="1" applyBorder="1" applyAlignment="1">
      <alignment vertical="center" wrapText="1"/>
    </xf>
    <xf numFmtId="2" fontId="1" fillId="22" borderId="10" xfId="0" applyNumberFormat="1" applyFont="1" applyFill="1" applyBorder="1" applyAlignment="1">
      <alignment horizontal="center"/>
    </xf>
    <xf numFmtId="2" fontId="1" fillId="0" borderId="10" xfId="0" applyNumberFormat="1" applyFont="1" applyBorder="1" applyAlignment="1">
      <alignment horizontal="center"/>
    </xf>
    <xf numFmtId="0" fontId="1" fillId="0" borderId="25" xfId="0" applyFont="1" applyFill="1" applyBorder="1" applyAlignment="1">
      <alignment horizontal="left" vertical="center" wrapText="1"/>
    </xf>
    <xf numFmtId="0" fontId="1" fillId="25" borderId="0" xfId="0" applyFont="1" applyFill="1" applyBorder="1" applyAlignment="1">
      <alignment vertical="center"/>
    </xf>
    <xf numFmtId="0" fontId="1" fillId="25" borderId="0" xfId="0" applyFont="1" applyFill="1" applyBorder="1" applyAlignment="1">
      <alignment vertical="center" wrapText="1"/>
    </xf>
    <xf numFmtId="0" fontId="2" fillId="25" borderId="0" xfId="0" applyFont="1" applyFill="1" applyBorder="1" applyAlignment="1">
      <alignment vertical="center" wrapText="1"/>
    </xf>
    <xf numFmtId="0" fontId="1" fillId="25" borderId="0" xfId="0" applyFont="1" applyFill="1" applyAlignment="1">
      <alignment vertical="center" wrapText="1"/>
    </xf>
    <xf numFmtId="0" fontId="3" fillId="25" borderId="0" xfId="0" applyFont="1" applyFill="1" applyBorder="1" applyAlignment="1">
      <alignment wrapText="1"/>
    </xf>
    <xf numFmtId="0" fontId="3" fillId="25" borderId="0" xfId="0" applyFont="1" applyFill="1" applyBorder="1" applyAlignment="1">
      <alignment horizontal="left" wrapText="1"/>
    </xf>
    <xf numFmtId="0" fontId="2" fillId="25" borderId="23" xfId="0" applyFont="1" applyFill="1" applyBorder="1" applyAlignment="1">
      <alignment horizontal="center" vertical="center" wrapText="1"/>
    </xf>
    <xf numFmtId="0" fontId="2" fillId="25" borderId="23" xfId="0" applyFont="1" applyFill="1" applyBorder="1" applyAlignment="1">
      <alignment horizontal="left" vertical="center"/>
    </xf>
    <xf numFmtId="0" fontId="2" fillId="25" borderId="24" xfId="0" applyFont="1" applyFill="1" applyBorder="1" applyAlignment="1">
      <alignment horizontal="left" vertical="center"/>
    </xf>
    <xf numFmtId="0" fontId="2" fillId="25" borderId="24" xfId="0" applyFont="1" applyFill="1" applyBorder="1" applyAlignment="1">
      <alignment horizontal="left" vertical="center" wrapText="1"/>
    </xf>
    <xf numFmtId="0" fontId="1" fillId="25" borderId="2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24" xfId="0" applyFont="1" applyFill="1" applyBorder="1" applyAlignment="1">
      <alignment horizontal="left" vertical="center"/>
    </xf>
    <xf numFmtId="0" fontId="1" fillId="25" borderId="25" xfId="0" applyFont="1" applyFill="1" applyBorder="1" applyAlignment="1">
      <alignment horizontal="left" vertical="center"/>
    </xf>
    <xf numFmtId="0" fontId="1" fillId="25" borderId="25" xfId="0" applyFont="1" applyFill="1" applyBorder="1" applyAlignment="1">
      <alignment horizontal="left" vertical="center" wrapText="1"/>
    </xf>
    <xf numFmtId="0" fontId="1" fillId="25" borderId="39" xfId="0" applyFont="1" applyFill="1" applyBorder="1" applyAlignment="1">
      <alignment horizontal="left" vertical="center" wrapText="1"/>
    </xf>
    <xf numFmtId="49" fontId="1" fillId="25" borderId="24" xfId="0" applyNumberFormat="1" applyFont="1" applyFill="1" applyBorder="1" applyAlignment="1">
      <alignment horizontal="center" vertical="center" wrapText="1"/>
    </xf>
    <xf numFmtId="0" fontId="1" fillId="25" borderId="39" xfId="0" applyFont="1" applyFill="1" applyBorder="1" applyAlignment="1">
      <alignment horizontal="left" vertical="center"/>
    </xf>
    <xf numFmtId="0" fontId="1" fillId="25" borderId="40" xfId="0" applyFont="1" applyFill="1" applyBorder="1" applyAlignment="1">
      <alignment horizontal="center" vertical="center" wrapText="1"/>
    </xf>
    <xf numFmtId="0" fontId="1" fillId="25" borderId="41" xfId="0" applyFont="1" applyFill="1" applyBorder="1" applyAlignment="1">
      <alignment horizontal="left" vertical="center"/>
    </xf>
    <xf numFmtId="0" fontId="1" fillId="25" borderId="42" xfId="0" applyFont="1" applyFill="1" applyBorder="1" applyAlignment="1">
      <alignment horizontal="left" vertical="center"/>
    </xf>
    <xf numFmtId="0" fontId="1" fillId="25" borderId="42" xfId="0" applyFont="1" applyFill="1" applyBorder="1" applyAlignment="1">
      <alignment horizontal="left" vertical="center" wrapText="1"/>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39" xfId="0" applyFont="1" applyFill="1" applyBorder="1" applyAlignment="1">
      <alignment horizontal="left" vertical="center" wrapText="1"/>
    </xf>
    <xf numFmtId="0" fontId="1" fillId="25" borderId="23" xfId="0" applyFont="1" applyFill="1" applyBorder="1" applyAlignment="1">
      <alignment horizontal="left" vertical="center"/>
    </xf>
    <xf numFmtId="0" fontId="1" fillId="25" borderId="23" xfId="0" applyFont="1" applyFill="1" applyBorder="1" applyAlignment="1">
      <alignment horizontal="left" vertical="center" wrapText="1"/>
    </xf>
    <xf numFmtId="0" fontId="1" fillId="0" borderId="23" xfId="0" applyFont="1" applyFill="1" applyBorder="1" applyAlignment="1">
      <alignment horizontal="left" vertical="center"/>
    </xf>
    <xf numFmtId="0" fontId="1" fillId="0" borderId="23" xfId="0" applyFont="1" applyFill="1" applyBorder="1" applyAlignment="1">
      <alignment horizontal="left" vertical="center" wrapText="1"/>
    </xf>
    <xf numFmtId="0" fontId="2" fillId="0" borderId="24" xfId="0" applyFont="1" applyFill="1" applyBorder="1" applyAlignment="1">
      <alignment horizontal="left" vertical="center"/>
    </xf>
    <xf numFmtId="0" fontId="1" fillId="0" borderId="43" xfId="0" applyFont="1" applyFill="1" applyBorder="1" applyAlignment="1">
      <alignment horizontal="left" vertical="center"/>
    </xf>
    <xf numFmtId="0" fontId="1" fillId="0" borderId="40" xfId="0" applyFont="1" applyFill="1" applyBorder="1" applyAlignment="1">
      <alignment horizontal="left" vertical="center"/>
    </xf>
    <xf numFmtId="0" fontId="1" fillId="0" borderId="44" xfId="0" applyFont="1" applyFill="1" applyBorder="1" applyAlignment="1">
      <alignment horizontal="left" vertical="center"/>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xf>
    <xf numFmtId="0" fontId="1" fillId="0" borderId="45" xfId="0" applyFont="1" applyFill="1" applyBorder="1" applyAlignment="1">
      <alignment horizontal="left" vertical="center" wrapText="1"/>
    </xf>
    <xf numFmtId="0" fontId="1" fillId="0" borderId="24" xfId="0" applyFont="1" applyFill="1" applyBorder="1" applyAlignment="1">
      <alignment horizontal="center" vertical="center"/>
    </xf>
    <xf numFmtId="0" fontId="1" fillId="0" borderId="39" xfId="0" applyFont="1" applyFill="1" applyBorder="1" applyAlignment="1">
      <alignment horizontal="left" vertical="center"/>
    </xf>
    <xf numFmtId="0" fontId="1" fillId="25" borderId="24" xfId="0" applyFont="1" applyFill="1" applyBorder="1" applyAlignment="1">
      <alignment horizontal="left" vertical="center" wrapText="1"/>
    </xf>
    <xf numFmtId="0" fontId="6" fillId="25" borderId="24" xfId="0" applyFont="1" applyFill="1" applyBorder="1" applyAlignment="1">
      <alignment horizontal="left" vertical="center"/>
    </xf>
    <xf numFmtId="0" fontId="6" fillId="25" borderId="39" xfId="0" applyFont="1" applyFill="1" applyBorder="1" applyAlignment="1">
      <alignment horizontal="left" vertical="center" wrapText="1"/>
    </xf>
    <xf numFmtId="0" fontId="1" fillId="25" borderId="43" xfId="0" applyFont="1" applyFill="1" applyBorder="1" applyAlignment="1">
      <alignment horizontal="center" vertical="center" wrapText="1"/>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26"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9" xfId="0" applyFont="1" applyFill="1" applyBorder="1" applyAlignment="1">
      <alignment horizontal="left" vertical="center" wrapText="1"/>
    </xf>
    <xf numFmtId="0" fontId="2" fillId="25" borderId="40" xfId="0" applyFont="1" applyFill="1" applyBorder="1" applyAlignment="1">
      <alignment horizontal="left" vertical="center"/>
    </xf>
    <xf numFmtId="0" fontId="2" fillId="25" borderId="44" xfId="0" applyFont="1" applyFill="1" applyBorder="1" applyAlignment="1">
      <alignment horizontal="left" vertical="center" wrapText="1"/>
    </xf>
    <xf numFmtId="0" fontId="2" fillId="25" borderId="39"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1" fillId="25" borderId="0" xfId="0" applyFont="1" applyFill="1" applyBorder="1" applyAlignment="1">
      <alignment horizontal="left" vertical="center" wrapText="1"/>
    </xf>
    <xf numFmtId="0" fontId="1" fillId="25" borderId="0" xfId="0" applyFont="1" applyFill="1" applyAlignment="1">
      <alignment horizontal="center" vertical="center" wrapText="1"/>
    </xf>
    <xf numFmtId="0" fontId="2" fillId="0" borderId="0" xfId="48" applyFont="1" applyAlignment="1">
      <alignment vertical="center"/>
      <protection/>
    </xf>
    <xf numFmtId="0" fontId="1" fillId="0" borderId="0" xfId="48" applyFont="1" applyAlignment="1">
      <alignment vertical="center"/>
      <protection/>
    </xf>
    <xf numFmtId="0" fontId="8" fillId="0" borderId="0" xfId="48" applyFont="1" applyAlignment="1">
      <alignment vertical="center"/>
      <protection/>
    </xf>
    <xf numFmtId="0" fontId="15" fillId="0" borderId="0" xfId="48" applyFont="1" applyAlignment="1">
      <alignment vertical="center"/>
      <protection/>
    </xf>
    <xf numFmtId="0" fontId="9" fillId="0" borderId="23" xfId="48" applyFont="1" applyBorder="1" applyAlignment="1">
      <alignment horizontal="center" vertical="center" wrapText="1"/>
      <protection/>
    </xf>
    <xf numFmtId="0" fontId="9" fillId="0" borderId="23" xfId="48" applyFont="1" applyFill="1" applyBorder="1" applyAlignment="1">
      <alignment horizontal="center" vertical="center" wrapText="1"/>
      <protection/>
    </xf>
    <xf numFmtId="0" fontId="9" fillId="0" borderId="23" xfId="0" applyFont="1" applyFill="1" applyBorder="1" applyAlignment="1">
      <alignment horizontal="center" vertical="center" wrapText="1"/>
    </xf>
    <xf numFmtId="0" fontId="9" fillId="0" borderId="23" xfId="48" applyFont="1" applyBorder="1" applyAlignment="1">
      <alignment vertical="center"/>
      <protection/>
    </xf>
    <xf numFmtId="0" fontId="7" fillId="0" borderId="23" xfId="48" applyFont="1" applyBorder="1" applyAlignment="1">
      <alignment vertical="center" wrapText="1"/>
      <protection/>
    </xf>
    <xf numFmtId="0" fontId="7" fillId="0" borderId="23" xfId="48" applyFont="1" applyBorder="1" applyAlignment="1">
      <alignment horizontal="left" vertical="center"/>
      <protection/>
    </xf>
    <xf numFmtId="0" fontId="9" fillId="0" borderId="23" xfId="48" applyFont="1" applyBorder="1" applyAlignment="1">
      <alignment horizontal="left" vertical="center"/>
      <protection/>
    </xf>
    <xf numFmtId="0" fontId="7" fillId="0" borderId="23" xfId="48" applyFont="1" applyBorder="1" applyAlignment="1">
      <alignment vertical="center"/>
      <protection/>
    </xf>
    <xf numFmtId="0" fontId="1" fillId="0" borderId="0" xfId="48" applyFont="1" applyAlignment="1">
      <alignment vertical="center" wrapText="1"/>
      <protection/>
    </xf>
    <xf numFmtId="2" fontId="1" fillId="24" borderId="10" xfId="0" applyNumberFormat="1" applyFont="1" applyFill="1" applyBorder="1" applyAlignment="1">
      <alignment vertical="center" wrapText="1"/>
    </xf>
    <xf numFmtId="0" fontId="2" fillId="25" borderId="10" xfId="0" applyFont="1" applyFill="1" applyBorder="1" applyAlignment="1">
      <alignment horizontal="center" vertical="center" wrapText="1"/>
    </xf>
    <xf numFmtId="0" fontId="2" fillId="25" borderId="10" xfId="0" applyFont="1" applyFill="1" applyBorder="1" applyAlignment="1">
      <alignment vertical="center" wrapText="1"/>
    </xf>
    <xf numFmtId="0" fontId="2" fillId="25" borderId="10" xfId="0" applyFont="1" applyFill="1" applyBorder="1" applyAlignment="1">
      <alignment vertical="top" wrapText="1"/>
    </xf>
    <xf numFmtId="2" fontId="2" fillId="25" borderId="10" xfId="0" applyNumberFormat="1" applyFont="1" applyFill="1" applyBorder="1" applyAlignment="1">
      <alignment horizontal="center" vertical="center" wrapText="1"/>
    </xf>
    <xf numFmtId="0" fontId="2" fillId="22" borderId="23" xfId="0" applyFont="1" applyFill="1" applyBorder="1" applyAlignment="1">
      <alignment horizontal="left" vertical="center" wrapText="1"/>
    </xf>
    <xf numFmtId="0" fontId="2" fillId="22" borderId="24" xfId="0" applyFont="1" applyFill="1" applyBorder="1" applyAlignment="1">
      <alignment horizontal="left" vertical="center" wrapText="1"/>
    </xf>
    <xf numFmtId="0" fontId="2" fillId="22" borderId="23" xfId="0" applyFont="1" applyFill="1" applyBorder="1" applyAlignment="1">
      <alignment horizontal="left" vertical="center"/>
    </xf>
    <xf numFmtId="0" fontId="2" fillId="22" borderId="24" xfId="0" applyFont="1" applyFill="1" applyBorder="1" applyAlignment="1">
      <alignment horizontal="left" vertical="center"/>
    </xf>
    <xf numFmtId="0" fontId="1" fillId="22" borderId="48" xfId="0" applyFont="1" applyFill="1" applyBorder="1" applyAlignment="1">
      <alignment horizontal="left" vertical="center"/>
    </xf>
    <xf numFmtId="0" fontId="6" fillId="22" borderId="43" xfId="0" applyFont="1" applyFill="1" applyBorder="1" applyAlignment="1">
      <alignment horizontal="left" vertical="center"/>
    </xf>
    <xf numFmtId="0" fontId="6" fillId="22" borderId="43"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22" borderId="40" xfId="0" applyFont="1" applyFill="1" applyBorder="1" applyAlignment="1">
      <alignment horizontal="center" vertical="center" wrapText="1"/>
    </xf>
    <xf numFmtId="0" fontId="1" fillId="22" borderId="41" xfId="0" applyFont="1" applyFill="1" applyBorder="1" applyAlignment="1">
      <alignment horizontal="left" vertical="center"/>
    </xf>
    <xf numFmtId="0" fontId="1" fillId="22" borderId="42" xfId="0" applyFont="1" applyFill="1" applyBorder="1" applyAlignment="1">
      <alignment horizontal="left" vertical="center"/>
    </xf>
    <xf numFmtId="0" fontId="1" fillId="22" borderId="42" xfId="0" applyFont="1" applyFill="1" applyBorder="1" applyAlignment="1">
      <alignment horizontal="left" vertical="center" wrapText="1"/>
    </xf>
    <xf numFmtId="0" fontId="1" fillId="22" borderId="43" xfId="0" applyFont="1" applyFill="1" applyBorder="1" applyAlignment="1">
      <alignment horizontal="left" vertical="center"/>
    </xf>
    <xf numFmtId="0" fontId="1" fillId="22" borderId="43" xfId="0" applyFont="1" applyFill="1" applyBorder="1" applyAlignment="1">
      <alignment horizontal="left" vertical="center" wrapText="1"/>
    </xf>
    <xf numFmtId="0" fontId="1" fillId="22" borderId="44" xfId="0" applyFont="1" applyFill="1" applyBorder="1" applyAlignment="1">
      <alignment horizontal="center" vertical="center" wrapText="1"/>
    </xf>
    <xf numFmtId="0" fontId="1" fillId="22" borderId="49" xfId="0" applyFont="1" applyFill="1" applyBorder="1" applyAlignment="1">
      <alignment horizontal="left" vertical="center"/>
    </xf>
    <xf numFmtId="0" fontId="1" fillId="22" borderId="0" xfId="0" applyFont="1" applyFill="1" applyBorder="1" applyAlignment="1">
      <alignment horizontal="left" vertical="center" wrapText="1"/>
    </xf>
    <xf numFmtId="0" fontId="2" fillId="22" borderId="40" xfId="0" applyFont="1" applyFill="1" applyBorder="1" applyAlignment="1">
      <alignment horizontal="left" vertical="center"/>
    </xf>
    <xf numFmtId="0" fontId="2" fillId="22" borderId="44" xfId="0" applyFont="1" applyFill="1" applyBorder="1" applyAlignment="1">
      <alignment horizontal="left" vertical="center"/>
    </xf>
    <xf numFmtId="0" fontId="2" fillId="22" borderId="44" xfId="0" applyFont="1" applyFill="1" applyBorder="1" applyAlignment="1">
      <alignment horizontal="left" vertical="center" wrapText="1"/>
    </xf>
    <xf numFmtId="2" fontId="1" fillId="22" borderId="23" xfId="0" applyNumberFormat="1" applyFont="1" applyFill="1" applyBorder="1" applyAlignment="1">
      <alignment horizontal="center" vertical="center" wrapText="1"/>
    </xf>
    <xf numFmtId="0" fontId="9" fillId="22" borderId="23" xfId="48" applyFont="1" applyFill="1" applyBorder="1" applyAlignment="1">
      <alignment vertical="center"/>
      <protection/>
    </xf>
    <xf numFmtId="0" fontId="9" fillId="22" borderId="23" xfId="48" applyFont="1" applyFill="1" applyBorder="1" applyAlignment="1">
      <alignment vertical="center" wrapText="1"/>
      <protection/>
    </xf>
    <xf numFmtId="0" fontId="7" fillId="22" borderId="23" xfId="48" applyFont="1" applyFill="1" applyBorder="1" applyAlignment="1">
      <alignment vertical="center" wrapText="1"/>
      <protection/>
    </xf>
    <xf numFmtId="0" fontId="7" fillId="22" borderId="23" xfId="48" applyFont="1" applyFill="1" applyBorder="1" applyAlignment="1">
      <alignment horizontal="left" vertical="center"/>
      <protection/>
    </xf>
    <xf numFmtId="0" fontId="9" fillId="22" borderId="23" xfId="48" applyFont="1" applyFill="1" applyBorder="1" applyAlignment="1">
      <alignment horizontal="center"/>
      <protection/>
    </xf>
    <xf numFmtId="0" fontId="9" fillId="22" borderId="23" xfId="48" applyFont="1" applyFill="1" applyBorder="1" applyAlignment="1">
      <alignment horizontal="center" wrapText="1"/>
      <protection/>
    </xf>
    <xf numFmtId="0" fontId="9" fillId="0" borderId="23" xfId="48" applyFont="1" applyBorder="1" applyAlignment="1">
      <alignment horizontal="center"/>
      <protection/>
    </xf>
    <xf numFmtId="0" fontId="7" fillId="0" borderId="23" xfId="48" applyFont="1" applyBorder="1" applyAlignment="1">
      <alignment horizontal="center"/>
      <protection/>
    </xf>
    <xf numFmtId="0" fontId="7" fillId="22" borderId="23" xfId="48" applyFont="1" applyFill="1" applyBorder="1" applyAlignment="1">
      <alignment horizontal="center"/>
      <protection/>
    </xf>
    <xf numFmtId="0" fontId="1" fillId="0" borderId="0" xfId="48" applyFont="1" applyBorder="1" applyAlignment="1">
      <alignment vertical="center"/>
      <protection/>
    </xf>
    <xf numFmtId="0" fontId="9" fillId="22" borderId="23" xfId="48" applyFont="1" applyFill="1" applyBorder="1" applyAlignment="1">
      <alignment horizontal="left" vertical="center"/>
      <protection/>
    </xf>
    <xf numFmtId="0" fontId="7" fillId="22" borderId="23" xfId="48" applyFont="1" applyFill="1" applyBorder="1" applyAlignment="1">
      <alignment horizontal="center" wrapText="1"/>
      <protection/>
    </xf>
    <xf numFmtId="2" fontId="7" fillId="22" borderId="23" xfId="48" applyNumberFormat="1" applyFont="1" applyFill="1" applyBorder="1" applyAlignment="1">
      <alignment horizontal="center"/>
      <protection/>
    </xf>
    <xf numFmtId="2" fontId="9" fillId="22" borderId="23" xfId="48" applyNumberFormat="1" applyFont="1" applyFill="1" applyBorder="1" applyAlignment="1">
      <alignment horizontal="center"/>
      <protection/>
    </xf>
    <xf numFmtId="0" fontId="8" fillId="24" borderId="0" xfId="0" applyFont="1" applyFill="1" applyAlignment="1">
      <alignment vertical="center" wrapText="1"/>
    </xf>
    <xf numFmtId="2" fontId="7" fillId="0" borderId="10" xfId="0" applyNumberFormat="1" applyFont="1" applyFill="1" applyBorder="1" applyAlignment="1">
      <alignment vertical="center"/>
    </xf>
    <xf numFmtId="0" fontId="2" fillId="0" borderId="12" xfId="0" applyFont="1" applyBorder="1" applyAlignment="1">
      <alignment wrapText="1"/>
    </xf>
    <xf numFmtId="0" fontId="2" fillId="24" borderId="12" xfId="0" applyFont="1" applyFill="1" applyBorder="1" applyAlignment="1">
      <alignment horizontal="left" vertical="center" wrapText="1"/>
    </xf>
    <xf numFmtId="0" fontId="2" fillId="24" borderId="12" xfId="0" applyFont="1" applyFill="1" applyBorder="1" applyAlignment="1">
      <alignment horizontal="left" wrapText="1"/>
    </xf>
    <xf numFmtId="0" fontId="2" fillId="26" borderId="12" xfId="0" applyFont="1" applyFill="1" applyBorder="1" applyAlignment="1">
      <alignment horizontal="left" wrapText="1"/>
    </xf>
    <xf numFmtId="0" fontId="1" fillId="24" borderId="12" xfId="0" applyFont="1" applyFill="1" applyBorder="1" applyAlignment="1">
      <alignment horizontal="left" vertical="center" wrapText="1"/>
    </xf>
    <xf numFmtId="0" fontId="2" fillId="0" borderId="14" xfId="0" applyFont="1" applyBorder="1" applyAlignment="1">
      <alignment horizontal="left" wrapText="1"/>
    </xf>
    <xf numFmtId="0" fontId="2" fillId="26"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22" borderId="10" xfId="0" applyFont="1" applyFill="1" applyBorder="1" applyAlignment="1">
      <alignment horizontal="left" vertical="center" wrapText="1"/>
    </xf>
    <xf numFmtId="0" fontId="2" fillId="24" borderId="10" xfId="0" applyFont="1" applyFill="1" applyBorder="1" applyAlignment="1">
      <alignment horizontal="left" vertical="center" wrapText="1"/>
    </xf>
    <xf numFmtId="0" fontId="2" fillId="0" borderId="10" xfId="0" applyFont="1" applyBorder="1" applyAlignment="1">
      <alignment wrapText="1"/>
    </xf>
    <xf numFmtId="0" fontId="1" fillId="24" borderId="0" xfId="0" applyFont="1" applyFill="1" applyBorder="1" applyAlignment="1">
      <alignment horizontal="left" vertical="top" wrapText="1"/>
    </xf>
    <xf numFmtId="0" fontId="1" fillId="0" borderId="10" xfId="0" applyFont="1" applyFill="1" applyBorder="1" applyAlignment="1">
      <alignment horizontal="left" vertical="center" wrapText="1"/>
    </xf>
    <xf numFmtId="0" fontId="1" fillId="26" borderId="10" xfId="0" applyFont="1" applyFill="1" applyBorder="1" applyAlignment="1">
      <alignment horizontal="left" vertical="center" wrapText="1"/>
    </xf>
    <xf numFmtId="0" fontId="2" fillId="24" borderId="27" xfId="0" applyFont="1" applyFill="1" applyBorder="1" applyAlignment="1">
      <alignment horizontal="left" wrapText="1"/>
    </xf>
    <xf numFmtId="0" fontId="2" fillId="22" borderId="10" xfId="0" applyFont="1" applyFill="1" applyBorder="1" applyAlignment="1">
      <alignment horizontal="center" vertical="center"/>
    </xf>
    <xf numFmtId="0" fontId="9" fillId="24" borderId="0" xfId="0" applyFont="1" applyFill="1" applyBorder="1" applyAlignment="1">
      <alignment horizontal="center"/>
    </xf>
    <xf numFmtId="0" fontId="7" fillId="24" borderId="26" xfId="0" applyFont="1" applyFill="1" applyBorder="1" applyAlignment="1">
      <alignment horizontal="center"/>
    </xf>
    <xf numFmtId="0" fontId="1" fillId="24" borderId="0" xfId="0" applyFont="1" applyFill="1" applyBorder="1" applyAlignment="1">
      <alignment horizontal="center" wrapText="1"/>
    </xf>
    <xf numFmtId="0" fontId="9" fillId="24" borderId="0" xfId="41" applyNumberFormat="1" applyFont="1" applyFill="1" applyBorder="1" applyAlignment="1" applyProtection="1">
      <alignment horizontal="center"/>
      <protection/>
    </xf>
    <xf numFmtId="49" fontId="2" fillId="24"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24" borderId="26"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7" fillId="0" borderId="10" xfId="0" applyFont="1" applyBorder="1" applyAlignment="1">
      <alignment horizontal="left" vertical="center"/>
    </xf>
    <xf numFmtId="0" fontId="9" fillId="22" borderId="10" xfId="0" applyFont="1" applyFill="1" applyBorder="1" applyAlignment="1">
      <alignment horizontal="left" vertical="center"/>
    </xf>
    <xf numFmtId="0" fontId="9" fillId="22" borderId="10" xfId="0" applyFont="1" applyFill="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7" fillId="0" borderId="26" xfId="0" applyFont="1" applyBorder="1" applyAlignment="1">
      <alignment horizontal="left" vertical="center" wrapText="1"/>
    </xf>
    <xf numFmtId="0" fontId="9" fillId="0" borderId="10" xfId="0" applyFont="1" applyBorder="1" applyAlignment="1">
      <alignment vertical="center"/>
    </xf>
    <xf numFmtId="0" fontId="1" fillId="24" borderId="0" xfId="0" applyFont="1" applyFill="1" applyBorder="1" applyAlignment="1">
      <alignment horizontal="center"/>
    </xf>
    <xf numFmtId="0" fontId="1" fillId="24" borderId="0" xfId="0" applyFont="1" applyFill="1" applyBorder="1" applyAlignment="1">
      <alignment horizontal="center" vertical="top" wrapText="1"/>
    </xf>
    <xf numFmtId="0" fontId="1" fillId="24" borderId="0" xfId="0" applyFont="1" applyFill="1" applyBorder="1" applyAlignment="1">
      <alignment horizontal="center" vertical="top"/>
    </xf>
    <xf numFmtId="0" fontId="7" fillId="24" borderId="0" xfId="0" applyFont="1" applyFill="1" applyBorder="1" applyAlignment="1">
      <alignment horizontal="center"/>
    </xf>
    <xf numFmtId="0" fontId="2" fillId="0" borderId="10" xfId="0" applyFont="1" applyBorder="1" applyAlignment="1">
      <alignment horizontal="center" vertical="center" wrapText="1"/>
    </xf>
    <xf numFmtId="0" fontId="7" fillId="22" borderId="10" xfId="0" applyFont="1" applyFill="1" applyBorder="1" applyAlignment="1">
      <alignment vertical="center" wrapText="1"/>
    </xf>
    <xf numFmtId="0" fontId="26" fillId="0" borderId="0" xfId="0" applyFont="1" applyBorder="1" applyAlignment="1">
      <alignment horizontal="right" vertical="center"/>
    </xf>
    <xf numFmtId="0" fontId="9" fillId="0" borderId="10" xfId="0" applyFont="1" applyBorder="1" applyAlignment="1">
      <alignment horizontal="center" vertical="center" wrapText="1"/>
    </xf>
    <xf numFmtId="0" fontId="9" fillId="22" borderId="10" xfId="0" applyFont="1" applyFill="1" applyBorder="1" applyAlignment="1">
      <alignment vertical="center" wrapText="1"/>
    </xf>
    <xf numFmtId="0" fontId="7" fillId="22"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7" fillId="0" borderId="26"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justify" vertical="center"/>
    </xf>
    <xf numFmtId="0" fontId="7" fillId="0" borderId="10" xfId="0" applyFont="1" applyBorder="1" applyAlignment="1">
      <alignment vertical="center" wrapText="1"/>
    </xf>
    <xf numFmtId="0" fontId="15"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24" borderId="10"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24" borderId="10" xfId="0" applyFont="1" applyFill="1" applyBorder="1" applyAlignment="1">
      <alignment horizontal="left" vertical="center" wrapText="1"/>
    </xf>
    <xf numFmtId="0" fontId="2" fillId="22" borderId="10" xfId="0" applyFont="1" applyFill="1" applyBorder="1" applyAlignment="1">
      <alignment horizontal="left" vertical="center" wrapText="1"/>
    </xf>
    <xf numFmtId="0" fontId="8" fillId="24" borderId="26" xfId="0" applyFont="1" applyFill="1" applyBorder="1" applyAlignment="1">
      <alignment horizontal="left" vertical="center" wrapText="1"/>
    </xf>
    <xf numFmtId="0" fontId="8" fillId="24" borderId="26"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4" borderId="0" xfId="0" applyFont="1" applyFill="1" applyBorder="1" applyAlignment="1">
      <alignment vertical="center" wrapText="1"/>
    </xf>
    <xf numFmtId="0" fontId="3" fillId="24" borderId="0" xfId="0" applyFont="1" applyFill="1" applyBorder="1" applyAlignment="1">
      <alignment wrapText="1"/>
    </xf>
    <xf numFmtId="0" fontId="3" fillId="24" borderId="0" xfId="0" applyFont="1" applyFill="1" applyBorder="1" applyAlignment="1">
      <alignment vertical="center" wrapText="1"/>
    </xf>
    <xf numFmtId="0" fontId="2" fillId="24" borderId="0" xfId="0" applyFont="1" applyFill="1" applyBorder="1" applyAlignment="1">
      <alignment horizontal="center" vertical="center" wrapText="1"/>
    </xf>
    <xf numFmtId="0" fontId="15" fillId="24" borderId="26" xfId="0" applyFont="1" applyFill="1" applyBorder="1" applyAlignment="1">
      <alignment horizontal="center" vertical="center" wrapText="1"/>
    </xf>
    <xf numFmtId="0" fontId="5" fillId="0" borderId="22" xfId="0" applyFont="1" applyFill="1" applyBorder="1" applyAlignment="1">
      <alignment horizontal="right" vertical="center" wrapText="1"/>
    </xf>
    <xf numFmtId="0" fontId="2" fillId="26" borderId="10" xfId="0" applyFont="1" applyFill="1" applyBorder="1" applyAlignment="1">
      <alignment horizontal="left" wrapText="1"/>
    </xf>
    <xf numFmtId="0" fontId="2" fillId="26" borderId="14" xfId="0" applyFont="1" applyFill="1" applyBorder="1" applyAlignment="1">
      <alignment horizontal="left" wrapText="1"/>
    </xf>
    <xf numFmtId="0" fontId="2" fillId="22" borderId="12" xfId="0" applyFont="1" applyFill="1" applyBorder="1" applyAlignment="1">
      <alignment vertical="center" wrapText="1"/>
    </xf>
    <xf numFmtId="0" fontId="2" fillId="24" borderId="10" xfId="0" applyFont="1" applyFill="1" applyBorder="1" applyAlignment="1">
      <alignment horizontal="center" vertical="center"/>
    </xf>
    <xf numFmtId="0" fontId="2" fillId="26" borderId="15" xfId="0" applyFont="1" applyFill="1" applyBorder="1" applyAlignment="1">
      <alignment horizontal="left" wrapText="1"/>
    </xf>
    <xf numFmtId="0" fontId="9" fillId="24" borderId="0" xfId="0" applyFont="1" applyFill="1" applyBorder="1" applyAlignment="1">
      <alignment horizontal="center" wrapText="1"/>
    </xf>
    <xf numFmtId="0" fontId="1" fillId="24" borderId="0" xfId="0" applyFont="1" applyFill="1" applyBorder="1" applyAlignment="1">
      <alignment wrapText="1"/>
    </xf>
    <xf numFmtId="0" fontId="15" fillId="24" borderId="0" xfId="0" applyFont="1" applyFill="1" applyBorder="1" applyAlignment="1">
      <alignment horizontal="center" wrapText="1"/>
    </xf>
    <xf numFmtId="0" fontId="2" fillId="26" borderId="10" xfId="0" applyFont="1" applyFill="1" applyBorder="1" applyAlignment="1">
      <alignment horizontal="center" vertical="center" wrapText="1"/>
    </xf>
    <xf numFmtId="0" fontId="1" fillId="22" borderId="12" xfId="0" applyFont="1" applyFill="1" applyBorder="1" applyAlignment="1">
      <alignment horizontal="left" vertical="center" wrapText="1"/>
    </xf>
    <xf numFmtId="0" fontId="2" fillId="22"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9" fillId="24" borderId="0" xfId="0" applyFont="1" applyFill="1" applyBorder="1" applyAlignment="1">
      <alignment horizontal="center" vertical="center" wrapText="1"/>
    </xf>
    <xf numFmtId="0" fontId="2" fillId="0" borderId="10" xfId="0" applyFont="1" applyBorder="1" applyAlignment="1">
      <alignment horizontal="center" vertical="center"/>
    </xf>
    <xf numFmtId="0" fontId="2" fillId="2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27"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2" fillId="0" borderId="10" xfId="0" applyFont="1" applyFill="1" applyBorder="1" applyAlignment="1">
      <alignment vertical="center" wrapText="1"/>
    </xf>
    <xf numFmtId="0" fontId="21" fillId="0" borderId="27" xfId="0" applyFont="1" applyBorder="1" applyAlignment="1">
      <alignment horizontal="center" vertical="center" wrapText="1"/>
    </xf>
    <xf numFmtId="0" fontId="21" fillId="0" borderId="14" xfId="0" applyFont="1" applyBorder="1" applyAlignment="1">
      <alignment horizontal="center" vertical="center" wrapText="1"/>
    </xf>
    <xf numFmtId="0" fontId="21" fillId="22" borderId="27" xfId="0" applyFont="1" applyFill="1" applyBorder="1" applyAlignment="1">
      <alignment horizontal="center" vertical="center" wrapText="1"/>
    </xf>
    <xf numFmtId="0" fontId="21" fillId="22" borderId="14" xfId="0" applyFont="1" applyFill="1" applyBorder="1" applyAlignment="1">
      <alignment horizontal="center" vertical="center" wrapText="1"/>
    </xf>
    <xf numFmtId="0" fontId="1" fillId="24" borderId="0" xfId="0" applyFont="1" applyFill="1" applyBorder="1" applyAlignment="1">
      <alignment horizontal="lef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15" fillId="0" borderId="43"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 fillId="24" borderId="0" xfId="0" applyFont="1" applyFill="1" applyAlignment="1">
      <alignment horizontal="center" vertical="center" wrapText="1"/>
    </xf>
    <xf numFmtId="0" fontId="0" fillId="0" borderId="0" xfId="0" applyAlignment="1">
      <alignment horizontal="center" vertical="center" wrapText="1"/>
    </xf>
    <xf numFmtId="0" fontId="0" fillId="0" borderId="45" xfId="0" applyFill="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5" fillId="22" borderId="24" xfId="0" applyFont="1" applyFill="1" applyBorder="1" applyAlignment="1">
      <alignment horizontal="left" vertical="top" wrapText="1"/>
    </xf>
    <xf numFmtId="0" fontId="15" fillId="22" borderId="25"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5" xfId="0" applyFont="1" applyFill="1" applyBorder="1" applyAlignment="1">
      <alignment horizontal="left" vertical="top" wrapText="1"/>
    </xf>
    <xf numFmtId="0" fontId="1" fillId="22" borderId="24" xfId="0" applyFont="1" applyFill="1" applyBorder="1" applyAlignment="1">
      <alignment horizontal="left" vertical="center" wrapText="1"/>
    </xf>
    <xf numFmtId="0" fontId="1" fillId="22" borderId="25"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 fillId="22" borderId="23"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22" borderId="24" xfId="0" applyFont="1" applyFill="1" applyBorder="1" applyAlignment="1">
      <alignment horizontal="left" vertical="center" wrapText="1"/>
    </xf>
    <xf numFmtId="0" fontId="1" fillId="22" borderId="25" xfId="0" applyFont="1" applyFill="1" applyBorder="1" applyAlignment="1">
      <alignment vertical="center" wrapText="1"/>
    </xf>
    <xf numFmtId="0" fontId="1" fillId="0" borderId="24" xfId="0" applyFont="1" applyFill="1" applyBorder="1" applyAlignment="1">
      <alignment vertical="center" wrapText="1"/>
    </xf>
    <xf numFmtId="0" fontId="0" fillId="0" borderId="25" xfId="0" applyFill="1" applyBorder="1" applyAlignment="1">
      <alignment vertical="center" wrapText="1"/>
    </xf>
    <xf numFmtId="0" fontId="24" fillId="0" borderId="0" xfId="0" applyFont="1" applyFill="1" applyAlignment="1">
      <alignment horizontal="left" vertical="center"/>
    </xf>
    <xf numFmtId="0" fontId="9" fillId="0" borderId="0" xfId="0" applyFont="1" applyFill="1" applyAlignment="1">
      <alignment horizontal="center" vertical="center" wrapText="1"/>
    </xf>
    <xf numFmtId="0" fontId="2" fillId="0" borderId="2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 fillId="0" borderId="0" xfId="0" applyFont="1" applyFill="1" applyAlignment="1">
      <alignment horizontal="left" vertical="center"/>
    </xf>
    <xf numFmtId="0" fontId="9" fillId="0" borderId="0" xfId="0" applyFont="1" applyFill="1" applyAlignment="1">
      <alignment horizontal="center"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2" borderId="17" xfId="0" applyFont="1" applyFill="1" applyBorder="1" applyAlignment="1">
      <alignment horizontal="left" vertical="center" wrapText="1"/>
    </xf>
    <xf numFmtId="0" fontId="2" fillId="22" borderId="2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22" borderId="11" xfId="0" applyFont="1" applyFill="1" applyBorder="1" applyAlignment="1">
      <alignment horizontal="left" vertical="center" wrapText="1"/>
    </xf>
    <xf numFmtId="0" fontId="2" fillId="22"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vertical="center" wrapText="1"/>
    </xf>
    <xf numFmtId="0" fontId="0" fillId="0" borderId="0" xfId="0" applyAlignment="1">
      <alignment vertical="center" wrapText="1"/>
    </xf>
    <xf numFmtId="0" fontId="15" fillId="0" borderId="10" xfId="0" applyFont="1" applyBorder="1" applyAlignment="1">
      <alignment horizontal="center" vertical="center" wrapText="1"/>
    </xf>
    <xf numFmtId="0" fontId="8" fillId="0" borderId="0" xfId="0" applyFont="1" applyAlignment="1">
      <alignment horizontal="right" vertical="center" wrapText="1"/>
    </xf>
    <xf numFmtId="0" fontId="15" fillId="22" borderId="24" xfId="0" applyFont="1" applyFill="1" applyBorder="1" applyAlignment="1">
      <alignment horizontal="left" vertical="center" wrapText="1"/>
    </xf>
    <xf numFmtId="0" fontId="15" fillId="22" borderId="25" xfId="0" applyFont="1" applyFill="1" applyBorder="1" applyAlignment="1">
      <alignment horizontal="left" vertical="center" wrapText="1"/>
    </xf>
    <xf numFmtId="0" fontId="15" fillId="0" borderId="2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9" fillId="22" borderId="25" xfId="0" applyFont="1" applyFill="1" applyBorder="1" applyAlignment="1">
      <alignment horizontal="left" vertical="center" wrapText="1"/>
    </xf>
    <xf numFmtId="0" fontId="18" fillId="0" borderId="0" xfId="0" applyFont="1" applyFill="1" applyAlignment="1">
      <alignment horizontal="center" vertical="center"/>
    </xf>
    <xf numFmtId="0" fontId="1" fillId="0" borderId="0" xfId="0" applyFont="1" applyAlignment="1">
      <alignment horizontal="right" vertical="center" wrapText="1"/>
    </xf>
    <xf numFmtId="0" fontId="2" fillId="0" borderId="11" xfId="0" applyFont="1" applyBorder="1" applyAlignment="1">
      <alignment horizontal="center" vertical="center" wrapText="1"/>
    </xf>
    <xf numFmtId="0" fontId="1" fillId="0" borderId="0" xfId="0" applyFont="1" applyFill="1" applyBorder="1" applyAlignment="1">
      <alignment horizontal="justify"/>
    </xf>
    <xf numFmtId="0" fontId="0" fillId="0" borderId="0" xfId="0" applyFont="1" applyBorder="1" applyAlignment="1">
      <alignment horizontal="center" vertical="center"/>
    </xf>
    <xf numFmtId="0" fontId="1" fillId="0" borderId="14" xfId="0" applyFont="1" applyBorder="1" applyAlignment="1">
      <alignment horizontal="center" vertical="center" wrapText="1"/>
    </xf>
    <xf numFmtId="0" fontId="2" fillId="22" borderId="27" xfId="0" applyFont="1" applyFill="1" applyBorder="1" applyAlignment="1">
      <alignment horizontal="left" vertical="center" wrapText="1"/>
    </xf>
    <xf numFmtId="0" fontId="2" fillId="22" borderId="10" xfId="0" applyFont="1" applyFill="1" applyBorder="1" applyAlignment="1">
      <alignment horizontal="left" vertical="center" wrapText="1"/>
    </xf>
    <xf numFmtId="0" fontId="2" fillId="0" borderId="0" xfId="0" applyFont="1" applyBorder="1" applyAlignment="1">
      <alignment horizontal="center"/>
    </xf>
    <xf numFmtId="0" fontId="2" fillId="24" borderId="0" xfId="0" applyFont="1" applyFill="1" applyBorder="1" applyAlignment="1">
      <alignment horizontal="center"/>
    </xf>
    <xf numFmtId="2" fontId="2" fillId="0" borderId="10" xfId="0" applyNumberFormat="1" applyFont="1" applyBorder="1" applyAlignment="1">
      <alignment horizontal="center" vertical="center" wrapText="1"/>
    </xf>
    <xf numFmtId="0" fontId="2" fillId="0" borderId="10" xfId="0" applyFont="1" applyBorder="1" applyAlignment="1">
      <alignment horizontal="center"/>
    </xf>
    <xf numFmtId="0" fontId="2" fillId="22" borderId="10" xfId="0" applyFont="1" applyFill="1" applyBorder="1" applyAlignment="1">
      <alignment horizontal="center" vertical="center"/>
    </xf>
    <xf numFmtId="0" fontId="1" fillId="0" borderId="19" xfId="0" applyFont="1" applyBorder="1" applyAlignment="1">
      <alignment horizontal="center"/>
    </xf>
    <xf numFmtId="0" fontId="1" fillId="0" borderId="12" xfId="0" applyFont="1" applyBorder="1" applyAlignment="1">
      <alignment horizontal="center"/>
    </xf>
    <xf numFmtId="49" fontId="1" fillId="24" borderId="12" xfId="0" applyNumberFormat="1"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22" borderId="27" xfId="0" applyFont="1" applyFill="1" applyBorder="1" applyAlignment="1">
      <alignment horizontal="left"/>
    </xf>
    <xf numFmtId="2" fontId="17" fillId="22" borderId="32" xfId="0" applyNumberFormat="1" applyFont="1" applyFill="1" applyBorder="1" applyAlignment="1">
      <alignment horizontal="center"/>
    </xf>
    <xf numFmtId="0" fontId="7" fillId="0" borderId="0" xfId="0" applyFont="1" applyAlignment="1">
      <alignment horizontal="left" vertical="top" wrapText="1"/>
    </xf>
    <xf numFmtId="0" fontId="0" fillId="0" borderId="32" xfId="0" applyBorder="1" applyAlignment="1">
      <alignment horizontal="center"/>
    </xf>
    <xf numFmtId="2" fontId="9" fillId="0" borderId="32" xfId="0" applyNumberFormat="1" applyFont="1" applyBorder="1" applyAlignment="1">
      <alignment horizontal="center" wrapText="1"/>
    </xf>
    <xf numFmtId="0" fontId="8"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2" xfId="0" applyFont="1" applyBorder="1" applyAlignment="1">
      <alignment horizontal="center" vertical="center" wrapText="1"/>
    </xf>
    <xf numFmtId="0" fontId="9" fillId="0" borderId="50" xfId="0" applyFont="1" applyBorder="1" applyAlignment="1">
      <alignment wrapText="1"/>
    </xf>
    <xf numFmtId="0" fontId="9" fillId="0" borderId="33" xfId="0" applyFont="1" applyBorder="1" applyAlignment="1">
      <alignment wrapText="1"/>
    </xf>
    <xf numFmtId="0" fontId="9" fillId="0" borderId="51" xfId="0" applyFont="1" applyBorder="1" applyAlignment="1">
      <alignment wrapText="1"/>
    </xf>
    <xf numFmtId="0" fontId="9" fillId="0" borderId="52" xfId="0" applyFont="1" applyBorder="1" applyAlignment="1">
      <alignment wrapText="1"/>
    </xf>
    <xf numFmtId="0" fontId="9" fillId="0" borderId="53" xfId="0" applyFont="1" applyBorder="1" applyAlignment="1">
      <alignment wrapText="1"/>
    </xf>
    <xf numFmtId="0" fontId="9" fillId="0" borderId="54" xfId="0" applyFont="1" applyBorder="1" applyAlignment="1">
      <alignment wrapText="1"/>
    </xf>
    <xf numFmtId="0" fontId="9" fillId="0" borderId="0" xfId="0" applyFont="1" applyAlignment="1">
      <alignment horizontal="center" vertical="center"/>
    </xf>
    <xf numFmtId="0" fontId="1" fillId="25" borderId="0" xfId="0" applyFont="1" applyFill="1" applyAlignment="1">
      <alignment horizontal="center" vertical="center" wrapText="1"/>
    </xf>
    <xf numFmtId="0" fontId="2" fillId="0" borderId="2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3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 fillId="25" borderId="24"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25" xfId="0" applyFont="1" applyBorder="1" applyAlignment="1">
      <alignment horizontal="left" vertical="center" wrapText="1"/>
    </xf>
    <xf numFmtId="0" fontId="0" fillId="0" borderId="39" xfId="0" applyFont="1" applyFill="1" applyBorder="1" applyAlignment="1">
      <alignment horizontal="left" vertical="center" wrapText="1"/>
    </xf>
    <xf numFmtId="170" fontId="1" fillId="25" borderId="0" xfId="62" applyFont="1" applyFill="1" applyAlignment="1">
      <alignment horizontal="left" wrapText="1"/>
    </xf>
    <xf numFmtId="0" fontId="2" fillId="25" borderId="0" xfId="0" applyFont="1" applyFill="1" applyAlignment="1">
      <alignment horizontal="center" vertical="center" wrapText="1"/>
    </xf>
    <xf numFmtId="0" fontId="4" fillId="25" borderId="0" xfId="0" applyFont="1" applyFill="1" applyAlignment="1">
      <alignment horizontal="center" vertical="center" wrapText="1"/>
    </xf>
    <xf numFmtId="0" fontId="4" fillId="25" borderId="0" xfId="0" applyFont="1" applyFill="1" applyAlignment="1">
      <alignment vertical="center" wrapText="1"/>
    </xf>
    <xf numFmtId="0" fontId="2" fillId="0" borderId="4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3" fillId="25" borderId="0" xfId="0" applyFont="1" applyFill="1" applyBorder="1" applyAlignment="1">
      <alignment horizontal="left" wrapText="1"/>
    </xf>
    <xf numFmtId="0" fontId="0" fillId="25" borderId="0" xfId="0" applyFill="1" applyAlignment="1">
      <alignment vertical="center" wrapText="1"/>
    </xf>
    <xf numFmtId="0" fontId="1" fillId="25" borderId="0" xfId="0" applyFont="1" applyFill="1" applyAlignment="1">
      <alignment vertical="center" wrapText="1"/>
    </xf>
    <xf numFmtId="0" fontId="7" fillId="0" borderId="0" xfId="48" applyFont="1" applyBorder="1" applyAlignment="1">
      <alignment horizontal="left" vertical="center" wrapText="1"/>
      <protection/>
    </xf>
    <xf numFmtId="0" fontId="1" fillId="0" borderId="0" xfId="48" applyFont="1" applyAlignment="1">
      <alignment horizontal="left" vertical="center"/>
      <protection/>
    </xf>
    <xf numFmtId="0" fontId="9" fillId="22" borderId="24" xfId="48" applyFont="1" applyFill="1" applyBorder="1" applyAlignment="1">
      <alignment horizontal="left" vertical="center"/>
      <protection/>
    </xf>
    <xf numFmtId="0" fontId="9" fillId="22" borderId="39" xfId="48" applyFont="1" applyFill="1" applyBorder="1" applyAlignment="1">
      <alignment vertical="center"/>
      <protection/>
    </xf>
    <xf numFmtId="0" fontId="9" fillId="22" borderId="25" xfId="48" applyFont="1" applyFill="1" applyBorder="1" applyAlignment="1">
      <alignment vertical="center"/>
      <protection/>
    </xf>
    <xf numFmtId="0" fontId="7" fillId="0" borderId="24" xfId="48" applyFont="1" applyBorder="1" applyAlignment="1">
      <alignment horizontal="left" vertical="center"/>
      <protection/>
    </xf>
    <xf numFmtId="0" fontId="7" fillId="0" borderId="39" xfId="48" applyFont="1" applyBorder="1" applyAlignment="1">
      <alignment vertical="center"/>
      <protection/>
    </xf>
    <xf numFmtId="0" fontId="7" fillId="0" borderId="25" xfId="48" applyFont="1" applyBorder="1" applyAlignment="1">
      <alignment vertical="center"/>
      <protection/>
    </xf>
    <xf numFmtId="0" fontId="1" fillId="0" borderId="0" xfId="48" applyFont="1" applyAlignment="1">
      <alignment horizontal="center" vertical="center" wrapText="1"/>
      <protection/>
    </xf>
    <xf numFmtId="0" fontId="9" fillId="0" borderId="24" xfId="48" applyFont="1" applyBorder="1" applyAlignment="1">
      <alignment horizontal="left" vertical="center" wrapText="1"/>
      <protection/>
    </xf>
    <xf numFmtId="0" fontId="9" fillId="0" borderId="39" xfId="48" applyFont="1" applyBorder="1" applyAlignment="1">
      <alignment vertical="center" wrapText="1"/>
      <protection/>
    </xf>
    <xf numFmtId="0" fontId="9" fillId="0" borderId="25" xfId="48" applyFont="1" applyBorder="1" applyAlignment="1">
      <alignment vertical="center" wrapText="1"/>
      <protection/>
    </xf>
    <xf numFmtId="0" fontId="9" fillId="0" borderId="24" xfId="48" applyFont="1" applyBorder="1" applyAlignment="1">
      <alignment horizontal="left" vertical="center"/>
      <protection/>
    </xf>
    <xf numFmtId="0" fontId="9" fillId="0" borderId="39" xfId="48" applyFont="1" applyBorder="1" applyAlignment="1">
      <alignment vertical="center"/>
      <protection/>
    </xf>
    <xf numFmtId="0" fontId="9" fillId="0" borderId="25" xfId="48" applyFont="1" applyBorder="1" applyAlignment="1">
      <alignment vertical="center"/>
      <protection/>
    </xf>
    <xf numFmtId="0" fontId="9" fillId="22" borderId="24" xfId="48" applyFont="1" applyFill="1" applyBorder="1" applyAlignment="1">
      <alignment vertical="center" wrapText="1"/>
      <protection/>
    </xf>
    <xf numFmtId="0" fontId="9" fillId="22" borderId="39" xfId="48" applyFont="1" applyFill="1" applyBorder="1" applyAlignment="1">
      <alignment vertical="center" wrapText="1"/>
      <protection/>
    </xf>
    <xf numFmtId="0" fontId="9" fillId="22" borderId="25" xfId="48" applyFont="1" applyFill="1" applyBorder="1" applyAlignment="1">
      <alignment vertical="center" wrapText="1"/>
      <protection/>
    </xf>
    <xf numFmtId="0" fontId="9" fillId="0" borderId="24" xfId="48" applyFont="1" applyBorder="1" applyAlignment="1">
      <alignment vertical="center"/>
      <protection/>
    </xf>
    <xf numFmtId="0" fontId="7" fillId="0" borderId="23" xfId="48" applyFont="1" applyBorder="1" applyAlignment="1">
      <alignment vertical="center" wrapText="1"/>
      <protection/>
    </xf>
    <xf numFmtId="0" fontId="7" fillId="0" borderId="23" xfId="48" applyFont="1" applyBorder="1" applyAlignment="1">
      <alignment vertical="center"/>
      <protection/>
    </xf>
    <xf numFmtId="0" fontId="9" fillId="22" borderId="24" xfId="48" applyFont="1" applyFill="1" applyBorder="1" applyAlignment="1">
      <alignment vertical="center"/>
      <protection/>
    </xf>
    <xf numFmtId="0" fontId="7" fillId="0" borderId="23" xfId="48" applyFont="1" applyBorder="1" applyAlignment="1">
      <alignment horizontal="left" vertical="center" wrapText="1"/>
      <protection/>
    </xf>
    <xf numFmtId="0" fontId="7" fillId="22" borderId="23" xfId="48" applyFont="1" applyFill="1" applyBorder="1" applyAlignment="1">
      <alignment vertical="center" wrapText="1"/>
      <protection/>
    </xf>
    <xf numFmtId="0" fontId="9" fillId="22" borderId="23" xfId="48" applyFont="1" applyFill="1" applyBorder="1" applyAlignment="1">
      <alignment vertical="center" wrapText="1"/>
      <protection/>
    </xf>
    <xf numFmtId="0" fontId="9" fillId="0" borderId="24" xfId="48" applyFont="1" applyBorder="1" applyAlignment="1">
      <alignment horizontal="center" vertical="center" wrapText="1"/>
      <protection/>
    </xf>
    <xf numFmtId="0" fontId="9" fillId="0" borderId="39" xfId="48" applyFont="1" applyBorder="1" applyAlignment="1">
      <alignment horizontal="center" vertical="center" wrapText="1"/>
      <protection/>
    </xf>
    <xf numFmtId="0" fontId="9" fillId="0" borderId="25" xfId="48" applyFont="1" applyBorder="1" applyAlignment="1">
      <alignment horizontal="center" vertical="center" wrapText="1"/>
      <protection/>
    </xf>
    <xf numFmtId="0" fontId="9" fillId="22" borderId="23" xfId="48" applyFont="1" applyFill="1" applyBorder="1" applyAlignment="1">
      <alignment vertical="center"/>
      <protection/>
    </xf>
    <xf numFmtId="0" fontId="7" fillId="22" borderId="23" xfId="48" applyFont="1" applyFill="1" applyBorder="1" applyAlignment="1">
      <alignment horizontal="left" vertical="center" wrapText="1"/>
      <protection/>
    </xf>
    <xf numFmtId="0" fontId="15" fillId="0" borderId="0" xfId="48" applyFont="1" applyAlignment="1">
      <alignment horizontal="center" vertical="center"/>
      <protection/>
    </xf>
    <xf numFmtId="0" fontId="15" fillId="0" borderId="0" xfId="48" applyFont="1" applyAlignment="1">
      <alignment vertical="center"/>
      <protection/>
    </xf>
    <xf numFmtId="0" fontId="8" fillId="0" borderId="0" xfId="48" applyFont="1" applyAlignment="1">
      <alignment horizontal="center" vertical="center"/>
      <protection/>
    </xf>
    <xf numFmtId="0" fontId="8" fillId="0" borderId="0" xfId="48" applyFont="1" applyAlignment="1">
      <alignment vertical="center"/>
      <protection/>
    </xf>
    <xf numFmtId="0" fontId="2" fillId="0" borderId="0" xfId="48" applyFont="1" applyAlignment="1">
      <alignment vertical="center"/>
      <protection/>
    </xf>
    <xf numFmtId="0" fontId="9" fillId="0" borderId="43" xfId="48" applyFont="1" applyBorder="1" applyAlignment="1">
      <alignment horizontal="center" vertical="center" wrapText="1"/>
      <protection/>
    </xf>
    <xf numFmtId="0" fontId="9" fillId="0" borderId="46" xfId="48" applyFont="1" applyBorder="1" applyAlignment="1">
      <alignment horizontal="center" vertical="center" wrapText="1"/>
      <protection/>
    </xf>
    <xf numFmtId="0" fontId="9" fillId="0" borderId="44" xfId="48" applyFont="1" applyBorder="1" applyAlignment="1">
      <alignment horizontal="center" vertical="center" wrapText="1"/>
      <protection/>
    </xf>
    <xf numFmtId="0" fontId="9" fillId="0" borderId="47" xfId="48" applyFont="1" applyBorder="1" applyAlignment="1">
      <alignment horizontal="center" vertical="center" wrapText="1"/>
      <protection/>
    </xf>
    <xf numFmtId="0" fontId="9" fillId="0" borderId="45" xfId="48" applyFont="1" applyBorder="1" applyAlignment="1">
      <alignment horizontal="center" vertical="center" wrapText="1"/>
      <protection/>
    </xf>
    <xf numFmtId="0" fontId="9" fillId="0" borderId="26" xfId="48" applyFont="1" applyBorder="1" applyAlignment="1">
      <alignment horizontal="center" vertical="center" wrapText="1"/>
      <protection/>
    </xf>
    <xf numFmtId="0" fontId="9" fillId="0" borderId="48" xfId="48" applyFont="1" applyBorder="1" applyAlignment="1">
      <alignment horizontal="center" vertical="center" wrapText="1"/>
      <protection/>
    </xf>
    <xf numFmtId="0" fontId="9" fillId="0" borderId="40" xfId="48" applyFont="1" applyBorder="1" applyAlignment="1">
      <alignment horizontal="center" vertical="center" wrapText="1"/>
      <protection/>
    </xf>
    <xf numFmtId="0" fontId="9" fillId="25" borderId="24" xfId="0" applyFont="1" applyFill="1" applyBorder="1" applyAlignment="1">
      <alignment horizontal="center" vertical="center" wrapText="1"/>
    </xf>
    <xf numFmtId="0" fontId="9" fillId="25" borderId="25" xfId="0" applyFont="1" applyFill="1" applyBorder="1" applyAlignment="1">
      <alignment horizontal="center" vertical="center" wrapText="1"/>
    </xf>
    <xf numFmtId="0" fontId="2" fillId="0" borderId="48" xfId="48" applyFont="1" applyBorder="1" applyAlignment="1">
      <alignment horizontal="center" vertical="center" wrapText="1"/>
      <protection/>
    </xf>
    <xf numFmtId="0" fontId="2" fillId="0" borderId="40" xfId="48" applyFont="1" applyBorder="1" applyAlignment="1">
      <alignment horizontal="center" vertical="center" wrapText="1"/>
      <protection/>
    </xf>
    <xf numFmtId="0" fontId="2" fillId="0" borderId="0" xfId="48" applyFont="1" applyAlignment="1">
      <alignment horizontal="center" vertical="center"/>
      <protection/>
    </xf>
    <xf numFmtId="0" fontId="8" fillId="0" borderId="0" xfId="48" applyFont="1" applyAlignment="1">
      <alignment vertical="center" wrapText="1"/>
      <protection/>
    </xf>
    <xf numFmtId="0" fontId="1" fillId="0" borderId="0" xfId="0" applyFont="1" applyAlignment="1">
      <alignment vertical="center" wrapText="1"/>
    </xf>
    <xf numFmtId="0" fontId="9" fillId="0" borderId="0" xfId="48" applyFont="1" applyAlignment="1">
      <alignment horizontal="center" vertical="center" wrapText="1"/>
      <protection/>
    </xf>
    <xf numFmtId="0" fontId="8" fillId="0" borderId="0" xfId="48" applyFont="1" applyAlignment="1">
      <alignment horizontal="justify" vertical="center"/>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Normal_3_VSAFAS_priedai"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1"/>
  <sheetViews>
    <sheetView tabSelected="1" zoomScalePageLayoutView="0" workbookViewId="0" topLeftCell="A1">
      <selection activeCell="H72" sqref="H72"/>
    </sheetView>
  </sheetViews>
  <sheetFormatPr defaultColWidth="9.140625" defaultRowHeight="12.75"/>
  <cols>
    <col min="1" max="1" width="6.00390625" style="4" customWidth="1"/>
    <col min="2" max="2" width="3.140625" style="5" customWidth="1"/>
    <col min="3" max="3" width="2.7109375" style="5" customWidth="1"/>
    <col min="4" max="4" width="53.57421875" style="5" customWidth="1"/>
    <col min="5" max="5" width="7.7109375" style="2" customWidth="1"/>
    <col min="6" max="7" width="13.00390625" style="4" customWidth="1"/>
    <col min="8" max="16384" width="9.140625" style="4" customWidth="1"/>
  </cols>
  <sheetData>
    <row r="1" spans="1:7" ht="12.75">
      <c r="A1" s="1"/>
      <c r="B1" s="2"/>
      <c r="C1" s="2"/>
      <c r="D1" s="2"/>
      <c r="E1" s="3"/>
      <c r="F1" s="1"/>
      <c r="G1" s="1"/>
    </row>
    <row r="2" spans="5:7" ht="12.75" customHeight="1">
      <c r="E2" s="624" t="s">
        <v>245</v>
      </c>
      <c r="F2" s="624"/>
      <c r="G2" s="624"/>
    </row>
    <row r="3" spans="5:7" ht="12.75" customHeight="1">
      <c r="E3" s="625" t="s">
        <v>246</v>
      </c>
      <c r="F3" s="625"/>
      <c r="G3" s="625"/>
    </row>
    <row r="5" spans="1:7" ht="12.75" customHeight="1">
      <c r="A5" s="626" t="s">
        <v>248</v>
      </c>
      <c r="B5" s="626"/>
      <c r="C5" s="626"/>
      <c r="D5" s="626"/>
      <c r="E5" s="626"/>
      <c r="F5" s="626"/>
      <c r="G5" s="626"/>
    </row>
    <row r="6" spans="1:7" ht="12.75">
      <c r="A6" s="626"/>
      <c r="B6" s="626"/>
      <c r="C6" s="626"/>
      <c r="D6" s="626"/>
      <c r="E6" s="626"/>
      <c r="F6" s="626"/>
      <c r="G6" s="626"/>
    </row>
    <row r="7" spans="1:7" ht="12.75" customHeight="1">
      <c r="A7" s="627" t="s">
        <v>285</v>
      </c>
      <c r="B7" s="627"/>
      <c r="C7" s="627"/>
      <c r="D7" s="627"/>
      <c r="E7" s="627"/>
      <c r="F7" s="627"/>
      <c r="G7" s="627"/>
    </row>
    <row r="8" spans="1:7" ht="12.75" customHeight="1">
      <c r="A8" s="621" t="s">
        <v>249</v>
      </c>
      <c r="B8" s="621"/>
      <c r="C8" s="621"/>
      <c r="D8" s="621"/>
      <c r="E8" s="621"/>
      <c r="F8" s="621"/>
      <c r="G8" s="621"/>
    </row>
    <row r="9" spans="1:7" ht="12.75" customHeight="1">
      <c r="A9" s="621" t="s">
        <v>286</v>
      </c>
      <c r="B9" s="621"/>
      <c r="C9" s="621"/>
      <c r="D9" s="621"/>
      <c r="E9" s="621"/>
      <c r="F9" s="621"/>
      <c r="G9" s="621"/>
    </row>
    <row r="10" spans="1:7" ht="12.75" customHeight="1">
      <c r="A10" s="622" t="s">
        <v>291</v>
      </c>
      <c r="B10" s="622"/>
      <c r="C10" s="622"/>
      <c r="D10" s="622"/>
      <c r="E10" s="622"/>
      <c r="F10" s="622"/>
      <c r="G10" s="622"/>
    </row>
    <row r="11" spans="1:7" ht="12.75">
      <c r="A11" s="622"/>
      <c r="B11" s="622"/>
      <c r="C11" s="622"/>
      <c r="D11" s="622"/>
      <c r="E11" s="622"/>
      <c r="F11" s="622"/>
      <c r="G11" s="622"/>
    </row>
    <row r="12" spans="1:5" ht="12.75" customHeight="1">
      <c r="A12" s="623"/>
      <c r="B12" s="623"/>
      <c r="C12" s="623"/>
      <c r="D12" s="623"/>
      <c r="E12" s="623"/>
    </row>
    <row r="13" spans="1:7" ht="12.75" customHeight="1">
      <c r="A13" s="626" t="s">
        <v>292</v>
      </c>
      <c r="B13" s="626"/>
      <c r="C13" s="626"/>
      <c r="D13" s="626"/>
      <c r="E13" s="626"/>
      <c r="F13" s="626"/>
      <c r="G13" s="626"/>
    </row>
    <row r="14" spans="1:7" ht="12.75" customHeight="1">
      <c r="A14" s="626" t="s">
        <v>287</v>
      </c>
      <c r="B14" s="626"/>
      <c r="C14" s="626"/>
      <c r="D14" s="626"/>
      <c r="E14" s="626"/>
      <c r="F14" s="626"/>
      <c r="G14" s="626"/>
    </row>
    <row r="15" spans="1:7" ht="12.75">
      <c r="A15" s="7"/>
      <c r="B15" s="8"/>
      <c r="C15" s="8"/>
      <c r="D15" s="8"/>
      <c r="E15" s="8"/>
      <c r="F15" s="9"/>
      <c r="G15" s="9"/>
    </row>
    <row r="16" spans="1:7" ht="12.75" customHeight="1">
      <c r="A16" s="621" t="s">
        <v>289</v>
      </c>
      <c r="B16" s="621"/>
      <c r="C16" s="621"/>
      <c r="D16" s="621"/>
      <c r="E16" s="621"/>
      <c r="F16" s="621"/>
      <c r="G16" s="621"/>
    </row>
    <row r="17" spans="1:7" ht="12.75" customHeight="1">
      <c r="A17" s="621" t="s">
        <v>293</v>
      </c>
      <c r="B17" s="621"/>
      <c r="C17" s="621"/>
      <c r="D17" s="621"/>
      <c r="E17" s="621"/>
      <c r="F17" s="621"/>
      <c r="G17" s="621"/>
    </row>
    <row r="18" spans="1:7" ht="12.75" customHeight="1">
      <c r="A18" s="7"/>
      <c r="B18" s="10"/>
      <c r="C18" s="10"/>
      <c r="D18" s="628" t="s">
        <v>294</v>
      </c>
      <c r="E18" s="628"/>
      <c r="F18" s="628"/>
      <c r="G18" s="628"/>
    </row>
    <row r="19" spans="1:7" ht="67.5" customHeight="1">
      <c r="A19" s="11" t="s">
        <v>295</v>
      </c>
      <c r="B19" s="615" t="s">
        <v>296</v>
      </c>
      <c r="C19" s="615"/>
      <c r="D19" s="615"/>
      <c r="E19" s="13" t="s">
        <v>297</v>
      </c>
      <c r="F19" s="12" t="s">
        <v>298</v>
      </c>
      <c r="G19" s="12" t="s">
        <v>299</v>
      </c>
    </row>
    <row r="20" spans="1:7" s="5" customFormat="1" ht="12.75" customHeight="1">
      <c r="A20" s="259" t="s">
        <v>300</v>
      </c>
      <c r="B20" s="260" t="s">
        <v>301</v>
      </c>
      <c r="C20" s="261"/>
      <c r="D20" s="262"/>
      <c r="E20" s="263"/>
      <c r="F20" s="397">
        <f>F21+F27+F38+F39</f>
        <v>38603673.26</v>
      </c>
      <c r="G20" s="397">
        <f>G21+G27+G38+G39</f>
        <v>39316536.54000001</v>
      </c>
    </row>
    <row r="21" spans="1:7" s="5" customFormat="1" ht="12.75" customHeight="1">
      <c r="A21" s="264" t="s">
        <v>302</v>
      </c>
      <c r="B21" s="265" t="s">
        <v>303</v>
      </c>
      <c r="C21" s="266"/>
      <c r="D21" s="267"/>
      <c r="E21" s="263" t="s">
        <v>72</v>
      </c>
      <c r="F21" s="398">
        <f>F22+F23+F24+F25+F26</f>
        <v>9414.4</v>
      </c>
      <c r="G21" s="398">
        <f>G22+G23+G24+G25+G26</f>
        <v>8850</v>
      </c>
    </row>
    <row r="22" spans="1:7" s="5" customFormat="1" ht="12.75" customHeight="1">
      <c r="A22" s="19" t="s">
        <v>304</v>
      </c>
      <c r="B22" s="20"/>
      <c r="C22" s="21" t="s">
        <v>305</v>
      </c>
      <c r="D22" s="22"/>
      <c r="E22" s="23"/>
      <c r="F22" s="399">
        <v>8850</v>
      </c>
      <c r="G22" s="399">
        <v>8850</v>
      </c>
    </row>
    <row r="23" spans="1:7" s="5" customFormat="1" ht="12.75" customHeight="1">
      <c r="A23" s="19" t="s">
        <v>306</v>
      </c>
      <c r="B23" s="20"/>
      <c r="C23" s="21" t="s">
        <v>307</v>
      </c>
      <c r="D23" s="24"/>
      <c r="E23" s="25"/>
      <c r="F23" s="399">
        <v>564.4</v>
      </c>
      <c r="G23" s="399"/>
    </row>
    <row r="24" spans="1:7" s="5" customFormat="1" ht="12.75" customHeight="1">
      <c r="A24" s="19" t="s">
        <v>308</v>
      </c>
      <c r="B24" s="20"/>
      <c r="C24" s="21" t="s">
        <v>309</v>
      </c>
      <c r="D24" s="24"/>
      <c r="E24" s="25"/>
      <c r="F24" s="399"/>
      <c r="G24" s="399"/>
    </row>
    <row r="25" spans="1:7" s="5" customFormat="1" ht="12.75" customHeight="1">
      <c r="A25" s="19" t="s">
        <v>310</v>
      </c>
      <c r="B25" s="20"/>
      <c r="C25" s="21" t="s">
        <v>311</v>
      </c>
      <c r="D25" s="24"/>
      <c r="E25" s="26"/>
      <c r="F25" s="399"/>
      <c r="G25" s="399"/>
    </row>
    <row r="26" spans="1:7" s="5" customFormat="1" ht="12.75" customHeight="1">
      <c r="A26" s="27" t="s">
        <v>312</v>
      </c>
      <c r="B26" s="20"/>
      <c r="C26" s="28" t="s">
        <v>313</v>
      </c>
      <c r="D26" s="22"/>
      <c r="E26" s="26"/>
      <c r="F26" s="399"/>
      <c r="G26" s="399"/>
    </row>
    <row r="27" spans="1:7" s="5" customFormat="1" ht="12.75" customHeight="1">
      <c r="A27" s="268" t="s">
        <v>314</v>
      </c>
      <c r="B27" s="269" t="s">
        <v>315</v>
      </c>
      <c r="C27" s="270"/>
      <c r="D27" s="271"/>
      <c r="E27" s="272" t="s">
        <v>73</v>
      </c>
      <c r="F27" s="398">
        <f>F28+F29+F30+F31+F32+F33+F34+F35+F36+F37</f>
        <v>38594258.86</v>
      </c>
      <c r="G27" s="398">
        <f>G28+G29+G30+G31+G32+G33+G34+G35+G36+G37</f>
        <v>39307686.54000001</v>
      </c>
    </row>
    <row r="28" spans="1:7" s="5" customFormat="1" ht="12.75" customHeight="1">
      <c r="A28" s="19" t="s">
        <v>316</v>
      </c>
      <c r="B28" s="20"/>
      <c r="C28" s="21" t="s">
        <v>317</v>
      </c>
      <c r="D28" s="24"/>
      <c r="E28" s="25"/>
      <c r="F28" s="399"/>
      <c r="G28" s="399"/>
    </row>
    <row r="29" spans="1:7" s="5" customFormat="1" ht="12.75" customHeight="1">
      <c r="A29" s="19" t="s">
        <v>318</v>
      </c>
      <c r="B29" s="20"/>
      <c r="C29" s="21" t="s">
        <v>319</v>
      </c>
      <c r="D29" s="24"/>
      <c r="E29" s="25"/>
      <c r="F29" s="399">
        <v>37041292.47</v>
      </c>
      <c r="G29" s="399">
        <v>37550381.35</v>
      </c>
    </row>
    <row r="30" spans="1:7" s="5" customFormat="1" ht="12.75" customHeight="1">
      <c r="A30" s="19" t="s">
        <v>320</v>
      </c>
      <c r="B30" s="20"/>
      <c r="C30" s="21" t="s">
        <v>321</v>
      </c>
      <c r="D30" s="24"/>
      <c r="E30" s="25"/>
      <c r="F30" s="399">
        <v>1008130.75</v>
      </c>
      <c r="G30" s="399">
        <v>1094893.59</v>
      </c>
    </row>
    <row r="31" spans="1:7" s="5" customFormat="1" ht="12.75" customHeight="1">
      <c r="A31" s="19" t="s">
        <v>322</v>
      </c>
      <c r="B31" s="20"/>
      <c r="C31" s="21" t="s">
        <v>323</v>
      </c>
      <c r="D31" s="24"/>
      <c r="E31" s="25"/>
      <c r="F31" s="399"/>
      <c r="G31" s="399"/>
    </row>
    <row r="32" spans="1:7" s="5" customFormat="1" ht="12.75" customHeight="1">
      <c r="A32" s="19" t="s">
        <v>324</v>
      </c>
      <c r="B32" s="20"/>
      <c r="C32" s="21" t="s">
        <v>325</v>
      </c>
      <c r="D32" s="24"/>
      <c r="E32" s="25"/>
      <c r="F32" s="399">
        <v>275145.06</v>
      </c>
      <c r="G32" s="399">
        <v>325522.5</v>
      </c>
    </row>
    <row r="33" spans="1:7" s="5" customFormat="1" ht="12.75" customHeight="1">
      <c r="A33" s="19" t="s">
        <v>326</v>
      </c>
      <c r="B33" s="20"/>
      <c r="C33" s="21" t="s">
        <v>327</v>
      </c>
      <c r="D33" s="24"/>
      <c r="E33" s="25"/>
      <c r="F33" s="399">
        <v>49817.46</v>
      </c>
      <c r="G33" s="399">
        <v>64174.98</v>
      </c>
    </row>
    <row r="34" spans="1:7" s="5" customFormat="1" ht="12.75" customHeight="1">
      <c r="A34" s="19" t="s">
        <v>328</v>
      </c>
      <c r="B34" s="20"/>
      <c r="C34" s="21" t="s">
        <v>329</v>
      </c>
      <c r="D34" s="24"/>
      <c r="E34" s="25"/>
      <c r="F34" s="399"/>
      <c r="G34" s="399"/>
    </row>
    <row r="35" spans="1:7" s="5" customFormat="1" ht="12.75" customHeight="1">
      <c r="A35" s="19" t="s">
        <v>330</v>
      </c>
      <c r="B35" s="20"/>
      <c r="C35" s="21" t="s">
        <v>331</v>
      </c>
      <c r="D35" s="24"/>
      <c r="E35" s="25"/>
      <c r="F35" s="399">
        <f>448.08+15875.33+1800</f>
        <v>18123.41</v>
      </c>
      <c r="G35" s="399">
        <v>21566.45</v>
      </c>
    </row>
    <row r="36" spans="1:7" s="5" customFormat="1" ht="12.75" customHeight="1">
      <c r="A36" s="19" t="s">
        <v>332</v>
      </c>
      <c r="B36" s="33"/>
      <c r="C36" s="34" t="s">
        <v>333</v>
      </c>
      <c r="D36" s="35"/>
      <c r="E36" s="25"/>
      <c r="F36" s="399">
        <v>201749.71</v>
      </c>
      <c r="G36" s="399">
        <v>251147.67</v>
      </c>
    </row>
    <row r="37" spans="1:7" s="5" customFormat="1" ht="12.75" customHeight="1">
      <c r="A37" s="19" t="s">
        <v>334</v>
      </c>
      <c r="B37" s="20"/>
      <c r="C37" s="21" t="s">
        <v>335</v>
      </c>
      <c r="D37" s="24"/>
      <c r="E37" s="26"/>
      <c r="F37" s="399"/>
      <c r="G37" s="399"/>
    </row>
    <row r="38" spans="1:7" s="5" customFormat="1" ht="12.75" customHeight="1">
      <c r="A38" s="18" t="s">
        <v>336</v>
      </c>
      <c r="B38" s="36" t="s">
        <v>337</v>
      </c>
      <c r="C38" s="36"/>
      <c r="D38" s="26"/>
      <c r="E38" s="26"/>
      <c r="F38" s="399"/>
      <c r="G38" s="399"/>
    </row>
    <row r="39" spans="1:7" s="5" customFormat="1" ht="12.75" customHeight="1">
      <c r="A39" s="18" t="s">
        <v>338</v>
      </c>
      <c r="B39" s="36" t="s">
        <v>339</v>
      </c>
      <c r="C39" s="36"/>
      <c r="D39" s="26"/>
      <c r="E39" s="25"/>
      <c r="F39" s="399"/>
      <c r="G39" s="399"/>
    </row>
    <row r="40" spans="1:7" s="5" customFormat="1" ht="12.75" customHeight="1">
      <c r="A40" s="12" t="s">
        <v>340</v>
      </c>
      <c r="B40" s="14" t="s">
        <v>341</v>
      </c>
      <c r="C40" s="15"/>
      <c r="D40" s="16"/>
      <c r="E40" s="25"/>
      <c r="F40" s="400"/>
      <c r="G40" s="400"/>
    </row>
    <row r="41" spans="1:7" s="5" customFormat="1" ht="12.75" customHeight="1">
      <c r="A41" s="273" t="s">
        <v>342</v>
      </c>
      <c r="B41" s="274" t="s">
        <v>343</v>
      </c>
      <c r="C41" s="275"/>
      <c r="D41" s="276"/>
      <c r="E41" s="272"/>
      <c r="F41" s="397">
        <f>F42+F48++F49+F56+F57</f>
        <v>147868.86</v>
      </c>
      <c r="G41" s="397">
        <f>G42+G48++G49+G56+G57</f>
        <v>218610.94</v>
      </c>
    </row>
    <row r="42" spans="1:7" s="5" customFormat="1" ht="12.75" customHeight="1">
      <c r="A42" s="277" t="s">
        <v>302</v>
      </c>
      <c r="B42" s="278" t="s">
        <v>344</v>
      </c>
      <c r="C42" s="279"/>
      <c r="D42" s="280"/>
      <c r="E42" s="272"/>
      <c r="F42" s="398">
        <f>F43+F44+F45+F46+F47</f>
        <v>34632.909999999996</v>
      </c>
      <c r="G42" s="398">
        <f>G43+G44+G45+G46+G47</f>
        <v>27200.52</v>
      </c>
    </row>
    <row r="43" spans="1:7" s="5" customFormat="1" ht="12.75" customHeight="1">
      <c r="A43" s="40" t="s">
        <v>304</v>
      </c>
      <c r="B43" s="33"/>
      <c r="C43" s="34" t="s">
        <v>345</v>
      </c>
      <c r="D43" s="35"/>
      <c r="E43" s="25"/>
      <c r="F43" s="399"/>
      <c r="G43" s="399"/>
    </row>
    <row r="44" spans="1:7" s="5" customFormat="1" ht="12.75" customHeight="1">
      <c r="A44" s="40" t="s">
        <v>306</v>
      </c>
      <c r="B44" s="33"/>
      <c r="C44" s="34" t="s">
        <v>346</v>
      </c>
      <c r="D44" s="35"/>
      <c r="E44" s="25" t="s">
        <v>74</v>
      </c>
      <c r="F44" s="399">
        <f>27988.53+6644.38</f>
        <v>34632.909999999996</v>
      </c>
      <c r="G44" s="399">
        <v>27200.52</v>
      </c>
    </row>
    <row r="45" spans="1:7" s="5" customFormat="1" ht="12.75">
      <c r="A45" s="40" t="s">
        <v>308</v>
      </c>
      <c r="B45" s="33"/>
      <c r="C45" s="34" t="s">
        <v>347</v>
      </c>
      <c r="D45" s="35"/>
      <c r="E45" s="25"/>
      <c r="F45" s="399"/>
      <c r="G45" s="399"/>
    </row>
    <row r="46" spans="1:7" s="5" customFormat="1" ht="12.75">
      <c r="A46" s="40" t="s">
        <v>310</v>
      </c>
      <c r="B46" s="33"/>
      <c r="C46" s="34" t="s">
        <v>348</v>
      </c>
      <c r="D46" s="35"/>
      <c r="E46" s="25"/>
      <c r="F46" s="399"/>
      <c r="G46" s="399"/>
    </row>
    <row r="47" spans="1:7" s="5" customFormat="1" ht="12.75" customHeight="1">
      <c r="A47" s="40" t="s">
        <v>312</v>
      </c>
      <c r="B47" s="37"/>
      <c r="C47" s="616" t="s">
        <v>349</v>
      </c>
      <c r="D47" s="616"/>
      <c r="E47" s="25" t="s">
        <v>75</v>
      </c>
      <c r="F47" s="399"/>
      <c r="G47" s="399"/>
    </row>
    <row r="48" spans="1:7" s="5" customFormat="1" ht="12.75" customHeight="1">
      <c r="A48" s="38" t="s">
        <v>314</v>
      </c>
      <c r="B48" s="42" t="s">
        <v>350</v>
      </c>
      <c r="C48" s="43"/>
      <c r="D48" s="44"/>
      <c r="E48" s="26"/>
      <c r="F48" s="399">
        <f>2975.93+2967.37</f>
        <v>5943.299999999999</v>
      </c>
      <c r="G48" s="399">
        <v>3194.58</v>
      </c>
    </row>
    <row r="49" spans="1:7" s="5" customFormat="1" ht="12.75" customHeight="1">
      <c r="A49" s="277" t="s">
        <v>336</v>
      </c>
      <c r="B49" s="278" t="s">
        <v>351</v>
      </c>
      <c r="C49" s="279"/>
      <c r="D49" s="280"/>
      <c r="E49" s="272"/>
      <c r="F49" s="398">
        <f>F50+F51+F52+F53+F54+F55</f>
        <v>97399.33</v>
      </c>
      <c r="G49" s="398">
        <f>G50+G51+G52+G53+G54+G55</f>
        <v>172553.08</v>
      </c>
    </row>
    <row r="50" spans="1:7" s="5" customFormat="1" ht="12.75" customHeight="1">
      <c r="A50" s="40" t="s">
        <v>352</v>
      </c>
      <c r="B50" s="39"/>
      <c r="C50" s="45" t="s">
        <v>353</v>
      </c>
      <c r="D50" s="46"/>
      <c r="E50" s="26"/>
      <c r="F50" s="399"/>
      <c r="G50" s="399"/>
    </row>
    <row r="51" spans="1:7" s="5" customFormat="1" ht="12.75" customHeight="1">
      <c r="A51" s="47" t="s">
        <v>354</v>
      </c>
      <c r="B51" s="33"/>
      <c r="C51" s="34" t="s">
        <v>355</v>
      </c>
      <c r="D51" s="48"/>
      <c r="E51" s="49"/>
      <c r="F51" s="401"/>
      <c r="G51" s="401"/>
    </row>
    <row r="52" spans="1:7" s="5" customFormat="1" ht="12.75" customHeight="1">
      <c r="A52" s="40" t="s">
        <v>356</v>
      </c>
      <c r="B52" s="33"/>
      <c r="C52" s="34" t="s">
        <v>357</v>
      </c>
      <c r="D52" s="35"/>
      <c r="E52" s="26"/>
      <c r="F52" s="399"/>
      <c r="G52" s="399"/>
    </row>
    <row r="53" spans="1:7" s="5" customFormat="1" ht="12.75" customHeight="1">
      <c r="A53" s="40" t="s">
        <v>358</v>
      </c>
      <c r="B53" s="33"/>
      <c r="C53" s="616" t="s">
        <v>359</v>
      </c>
      <c r="D53" s="616"/>
      <c r="E53" s="26" t="s">
        <v>76</v>
      </c>
      <c r="F53" s="399">
        <v>1768</v>
      </c>
      <c r="G53" s="399">
        <v>3037</v>
      </c>
    </row>
    <row r="54" spans="1:7" s="5" customFormat="1" ht="12.75" customHeight="1">
      <c r="A54" s="40" t="s">
        <v>360</v>
      </c>
      <c r="B54" s="33"/>
      <c r="C54" s="34" t="s">
        <v>361</v>
      </c>
      <c r="D54" s="35"/>
      <c r="E54" s="26"/>
      <c r="F54" s="399">
        <f>94314.2+303.36+1013.77</f>
        <v>95631.33</v>
      </c>
      <c r="G54" s="399">
        <v>169516.08</v>
      </c>
    </row>
    <row r="55" spans="1:7" s="5" customFormat="1" ht="12.75" customHeight="1">
      <c r="A55" s="40" t="s">
        <v>362</v>
      </c>
      <c r="B55" s="33"/>
      <c r="C55" s="34" t="s">
        <v>363</v>
      </c>
      <c r="D55" s="35"/>
      <c r="E55" s="26"/>
      <c r="F55" s="399"/>
      <c r="G55" s="399"/>
    </row>
    <row r="56" spans="1:7" s="5" customFormat="1" ht="12.75" customHeight="1">
      <c r="A56" s="38" t="s">
        <v>338</v>
      </c>
      <c r="B56" s="50" t="s">
        <v>364</v>
      </c>
      <c r="C56" s="50"/>
      <c r="D56" s="51"/>
      <c r="E56" s="26"/>
      <c r="F56" s="399"/>
      <c r="G56" s="399"/>
    </row>
    <row r="57" spans="1:7" s="5" customFormat="1" ht="12.75" customHeight="1">
      <c r="A57" s="38" t="s">
        <v>365</v>
      </c>
      <c r="B57" s="50" t="s">
        <v>366</v>
      </c>
      <c r="C57" s="50"/>
      <c r="D57" s="51"/>
      <c r="E57" s="26" t="s">
        <v>77</v>
      </c>
      <c r="F57" s="399">
        <v>9893.32</v>
      </c>
      <c r="G57" s="399">
        <v>15662.76</v>
      </c>
    </row>
    <row r="58" spans="1:7" s="5" customFormat="1" ht="12.75" customHeight="1">
      <c r="A58" s="281"/>
      <c r="B58" s="282" t="s">
        <v>367</v>
      </c>
      <c r="C58" s="283"/>
      <c r="D58" s="284"/>
      <c r="E58" s="285"/>
      <c r="F58" s="402">
        <f>F20+F40+F41</f>
        <v>38751542.12</v>
      </c>
      <c r="G58" s="402">
        <f>G20+G40+G41</f>
        <v>39535147.480000004</v>
      </c>
    </row>
    <row r="59" spans="1:7" s="5" customFormat="1" ht="12.75" customHeight="1">
      <c r="A59" s="286" t="s">
        <v>368</v>
      </c>
      <c r="B59" s="287" t="s">
        <v>369</v>
      </c>
      <c r="C59" s="287"/>
      <c r="D59" s="288"/>
      <c r="E59" s="289" t="s">
        <v>78</v>
      </c>
      <c r="F59" s="403">
        <f>F60+F61+F62+F63</f>
        <v>38647521.81</v>
      </c>
      <c r="G59" s="403">
        <f>G60+G61+G62+G63</f>
        <v>39354129.59</v>
      </c>
    </row>
    <row r="60" spans="1:7" s="5" customFormat="1" ht="12.75" customHeight="1">
      <c r="A60" s="18" t="s">
        <v>302</v>
      </c>
      <c r="B60" s="36" t="s">
        <v>370</v>
      </c>
      <c r="C60" s="36"/>
      <c r="D60" s="26"/>
      <c r="E60" s="26"/>
      <c r="F60" s="399"/>
      <c r="G60" s="399"/>
    </row>
    <row r="61" spans="1:7" s="5" customFormat="1" ht="12.75" customHeight="1">
      <c r="A61" s="29" t="s">
        <v>314</v>
      </c>
      <c r="B61" s="30" t="s">
        <v>371</v>
      </c>
      <c r="C61" s="31"/>
      <c r="D61" s="32"/>
      <c r="E61" s="52"/>
      <c r="F61" s="404">
        <v>38634633.32</v>
      </c>
      <c r="G61" s="404">
        <v>39346931.64</v>
      </c>
    </row>
    <row r="62" spans="1:7" s="5" customFormat="1" ht="12.75" customHeight="1">
      <c r="A62" s="18" t="s">
        <v>336</v>
      </c>
      <c r="B62" s="617" t="s">
        <v>372</v>
      </c>
      <c r="C62" s="617"/>
      <c r="D62" s="617"/>
      <c r="E62" s="26"/>
      <c r="F62" s="399"/>
      <c r="G62" s="399"/>
    </row>
    <row r="63" spans="1:7" s="5" customFormat="1" ht="12.75" customHeight="1">
      <c r="A63" s="18" t="s">
        <v>373</v>
      </c>
      <c r="B63" s="36" t="s">
        <v>374</v>
      </c>
      <c r="C63" s="20"/>
      <c r="D63" s="17"/>
      <c r="E63" s="26"/>
      <c r="F63" s="399">
        <v>12888.49</v>
      </c>
      <c r="G63" s="399">
        <v>7197.95</v>
      </c>
    </row>
    <row r="64" spans="1:7" s="5" customFormat="1" ht="12.75" customHeight="1">
      <c r="A64" s="259" t="s">
        <v>375</v>
      </c>
      <c r="B64" s="260" t="s">
        <v>376</v>
      </c>
      <c r="C64" s="261"/>
      <c r="D64" s="262"/>
      <c r="E64" s="272"/>
      <c r="F64" s="397">
        <f>F65+F69</f>
        <v>94314.2</v>
      </c>
      <c r="G64" s="397">
        <f>G65+G69</f>
        <v>132813.88</v>
      </c>
    </row>
    <row r="65" spans="1:7" s="5" customFormat="1" ht="12.75" customHeight="1">
      <c r="A65" s="264" t="s">
        <v>302</v>
      </c>
      <c r="B65" s="265" t="s">
        <v>377</v>
      </c>
      <c r="C65" s="290"/>
      <c r="D65" s="291"/>
      <c r="E65" s="272"/>
      <c r="F65" s="398">
        <f>F66+F67+F68</f>
        <v>0</v>
      </c>
      <c r="G65" s="398">
        <f>G66+G67+G68</f>
        <v>0</v>
      </c>
    </row>
    <row r="66" spans="1:7" s="5" customFormat="1" ht="12.75">
      <c r="A66" s="19" t="s">
        <v>304</v>
      </c>
      <c r="B66" s="53"/>
      <c r="C66" s="21" t="s">
        <v>378</v>
      </c>
      <c r="D66" s="54"/>
      <c r="E66" s="26"/>
      <c r="F66" s="399"/>
      <c r="G66" s="399"/>
    </row>
    <row r="67" spans="1:7" s="5" customFormat="1" ht="12.75" customHeight="1">
      <c r="A67" s="19" t="s">
        <v>306</v>
      </c>
      <c r="B67" s="20"/>
      <c r="C67" s="21" t="s">
        <v>379</v>
      </c>
      <c r="D67" s="24"/>
      <c r="E67" s="26"/>
      <c r="F67" s="399"/>
      <c r="G67" s="399"/>
    </row>
    <row r="68" spans="1:7" s="5" customFormat="1" ht="12.75" customHeight="1">
      <c r="A68" s="19" t="s">
        <v>380</v>
      </c>
      <c r="B68" s="20"/>
      <c r="C68" s="21" t="s">
        <v>381</v>
      </c>
      <c r="D68" s="24"/>
      <c r="E68" s="25"/>
      <c r="F68" s="399"/>
      <c r="G68" s="399"/>
    </row>
    <row r="69" spans="1:7" s="55" customFormat="1" ht="12.75" customHeight="1">
      <c r="A69" s="277" t="s">
        <v>314</v>
      </c>
      <c r="B69" s="292" t="s">
        <v>382</v>
      </c>
      <c r="C69" s="293"/>
      <c r="D69" s="294"/>
      <c r="E69" s="295" t="s">
        <v>79</v>
      </c>
      <c r="F69" s="405">
        <f>F70+F71+F72+F73+F74+F75+F78+F79+F80+F81+F82+F83</f>
        <v>94314.2</v>
      </c>
      <c r="G69" s="405">
        <f>G70+G71+G72+G73+G74+G75+G78+G79+G80+G81+G82+G83</f>
        <v>132813.88</v>
      </c>
    </row>
    <row r="70" spans="1:7" s="5" customFormat="1" ht="12.75" customHeight="1">
      <c r="A70" s="19" t="s">
        <v>316</v>
      </c>
      <c r="B70" s="20"/>
      <c r="C70" s="21" t="s">
        <v>383</v>
      </c>
      <c r="D70" s="22"/>
      <c r="E70" s="26"/>
      <c r="F70" s="399"/>
      <c r="G70" s="399"/>
    </row>
    <row r="71" spans="1:7" s="5" customFormat="1" ht="12.75" customHeight="1">
      <c r="A71" s="19" t="s">
        <v>318</v>
      </c>
      <c r="B71" s="53"/>
      <c r="C71" s="21" t="s">
        <v>384</v>
      </c>
      <c r="D71" s="54"/>
      <c r="E71" s="26"/>
      <c r="F71" s="399"/>
      <c r="G71" s="399"/>
    </row>
    <row r="72" spans="1:7" s="5" customFormat="1" ht="12.75">
      <c r="A72" s="19" t="s">
        <v>320</v>
      </c>
      <c r="B72" s="53"/>
      <c r="C72" s="21" t="s">
        <v>385</v>
      </c>
      <c r="D72" s="54"/>
      <c r="E72" s="26"/>
      <c r="F72" s="399"/>
      <c r="G72" s="399"/>
    </row>
    <row r="73" spans="1:7" s="5" customFormat="1" ht="12.75">
      <c r="A73" s="56" t="s">
        <v>322</v>
      </c>
      <c r="B73" s="39"/>
      <c r="C73" s="57" t="s">
        <v>386</v>
      </c>
      <c r="D73" s="46"/>
      <c r="E73" s="26"/>
      <c r="F73" s="399"/>
      <c r="G73" s="399"/>
    </row>
    <row r="74" spans="1:7" s="5" customFormat="1" ht="12.75">
      <c r="A74" s="18" t="s">
        <v>324</v>
      </c>
      <c r="B74" s="28"/>
      <c r="C74" s="28" t="s">
        <v>387</v>
      </c>
      <c r="D74" s="22"/>
      <c r="E74" s="22"/>
      <c r="F74" s="399"/>
      <c r="G74" s="399"/>
    </row>
    <row r="75" spans="1:7" s="5" customFormat="1" ht="12.75" customHeight="1">
      <c r="A75" s="296" t="s">
        <v>326</v>
      </c>
      <c r="B75" s="293"/>
      <c r="C75" s="297" t="s">
        <v>388</v>
      </c>
      <c r="D75" s="298"/>
      <c r="E75" s="272"/>
      <c r="F75" s="398">
        <f>F76+F77</f>
        <v>0</v>
      </c>
      <c r="G75" s="398">
        <f>G76+G77</f>
        <v>8464.81</v>
      </c>
    </row>
    <row r="76" spans="1:7" s="5" customFormat="1" ht="12.75" customHeight="1">
      <c r="A76" s="40" t="s">
        <v>389</v>
      </c>
      <c r="B76" s="33"/>
      <c r="C76" s="48"/>
      <c r="D76" s="35" t="s">
        <v>390</v>
      </c>
      <c r="E76" s="26"/>
      <c r="F76" s="399"/>
      <c r="G76" s="399">
        <v>699.68</v>
      </c>
    </row>
    <row r="77" spans="1:7" s="5" customFormat="1" ht="12.75" customHeight="1">
      <c r="A77" s="40" t="s">
        <v>391</v>
      </c>
      <c r="B77" s="33"/>
      <c r="C77" s="48"/>
      <c r="D77" s="35" t="s">
        <v>392</v>
      </c>
      <c r="E77" s="25"/>
      <c r="F77" s="399"/>
      <c r="G77" s="399">
        <v>7765.13</v>
      </c>
    </row>
    <row r="78" spans="1:7" s="5" customFormat="1" ht="12.75" customHeight="1">
      <c r="A78" s="40" t="s">
        <v>328</v>
      </c>
      <c r="B78" s="43"/>
      <c r="C78" s="58" t="s">
        <v>393</v>
      </c>
      <c r="D78" s="59"/>
      <c r="E78" s="25"/>
      <c r="F78" s="399"/>
      <c r="G78" s="399"/>
    </row>
    <row r="79" spans="1:7" s="5" customFormat="1" ht="12.75" customHeight="1">
      <c r="A79" s="40" t="s">
        <v>330</v>
      </c>
      <c r="B79" s="60"/>
      <c r="C79" s="34" t="s">
        <v>394</v>
      </c>
      <c r="D79" s="61"/>
      <c r="E79" s="26"/>
      <c r="F79" s="399"/>
      <c r="G79" s="399"/>
    </row>
    <row r="80" spans="1:7" s="5" customFormat="1" ht="12.75" customHeight="1">
      <c r="A80" s="40" t="s">
        <v>332</v>
      </c>
      <c r="B80" s="20"/>
      <c r="C80" s="21" t="s">
        <v>395</v>
      </c>
      <c r="D80" s="24"/>
      <c r="E80" s="26"/>
      <c r="F80" s="399">
        <v>18481.78</v>
      </c>
      <c r="G80" s="399">
        <v>50713.82</v>
      </c>
    </row>
    <row r="81" spans="1:7" s="5" customFormat="1" ht="12.75" customHeight="1">
      <c r="A81" s="40" t="s">
        <v>334</v>
      </c>
      <c r="B81" s="20"/>
      <c r="C81" s="21" t="s">
        <v>396</v>
      </c>
      <c r="D81" s="24"/>
      <c r="E81" s="26"/>
      <c r="F81" s="399"/>
      <c r="G81" s="399"/>
    </row>
    <row r="82" spans="1:7" s="5" customFormat="1" ht="12.75" customHeight="1">
      <c r="A82" s="19" t="s">
        <v>397</v>
      </c>
      <c r="B82" s="33"/>
      <c r="C82" s="34" t="s">
        <v>398</v>
      </c>
      <c r="D82" s="35"/>
      <c r="E82" s="26"/>
      <c r="F82" s="399">
        <f>57896.18+17936.24</f>
        <v>75832.42</v>
      </c>
      <c r="G82" s="399">
        <v>73635.25</v>
      </c>
    </row>
    <row r="83" spans="1:7" s="5" customFormat="1" ht="12.75" customHeight="1">
      <c r="A83" s="19" t="s">
        <v>399</v>
      </c>
      <c r="B83" s="20"/>
      <c r="C83" s="21" t="s">
        <v>400</v>
      </c>
      <c r="D83" s="24"/>
      <c r="E83" s="25"/>
      <c r="F83" s="399"/>
      <c r="G83" s="399"/>
    </row>
    <row r="84" spans="1:7" s="5" customFormat="1" ht="12.75" customHeight="1">
      <c r="A84" s="259" t="s">
        <v>401</v>
      </c>
      <c r="B84" s="287" t="s">
        <v>402</v>
      </c>
      <c r="C84" s="300"/>
      <c r="D84" s="301"/>
      <c r="E84" s="302" t="s">
        <v>80</v>
      </c>
      <c r="F84" s="397">
        <f>F85+F86+F89+F90</f>
        <v>9706.11</v>
      </c>
      <c r="G84" s="397">
        <f>G85+G86+G89+G90</f>
        <v>48204.01000000037</v>
      </c>
    </row>
    <row r="85" spans="1:7" s="5" customFormat="1" ht="12.75" customHeight="1">
      <c r="A85" s="18" t="s">
        <v>302</v>
      </c>
      <c r="B85" s="36" t="s">
        <v>403</v>
      </c>
      <c r="C85" s="20"/>
      <c r="D85" s="17"/>
      <c r="E85" s="25"/>
      <c r="F85" s="399"/>
      <c r="G85" s="399"/>
    </row>
    <row r="86" spans="1:7" s="5" customFormat="1" ht="12.75" customHeight="1">
      <c r="A86" s="264" t="s">
        <v>314</v>
      </c>
      <c r="B86" s="265" t="s">
        <v>404</v>
      </c>
      <c r="C86" s="290"/>
      <c r="D86" s="291"/>
      <c r="E86" s="272"/>
      <c r="F86" s="398">
        <f>F87+F88</f>
        <v>0</v>
      </c>
      <c r="G86" s="398">
        <f>G87+G88</f>
        <v>0</v>
      </c>
    </row>
    <row r="87" spans="1:7" s="5" customFormat="1" ht="12.75" customHeight="1">
      <c r="A87" s="19" t="s">
        <v>316</v>
      </c>
      <c r="B87" s="20"/>
      <c r="C87" s="21" t="s">
        <v>405</v>
      </c>
      <c r="D87" s="24"/>
      <c r="E87" s="26"/>
      <c r="F87" s="399"/>
      <c r="G87" s="399"/>
    </row>
    <row r="88" spans="1:7" s="5" customFormat="1" ht="12.75" customHeight="1">
      <c r="A88" s="19" t="s">
        <v>318</v>
      </c>
      <c r="B88" s="20"/>
      <c r="C88" s="21" t="s">
        <v>406</v>
      </c>
      <c r="D88" s="24"/>
      <c r="E88" s="26"/>
      <c r="F88" s="399"/>
      <c r="G88" s="399"/>
    </row>
    <row r="89" spans="1:7" s="5" customFormat="1" ht="12.75" customHeight="1">
      <c r="A89" s="38" t="s">
        <v>336</v>
      </c>
      <c r="B89" s="48" t="s">
        <v>407</v>
      </c>
      <c r="C89" s="48"/>
      <c r="D89" s="41"/>
      <c r="E89" s="26"/>
      <c r="F89" s="399"/>
      <c r="G89" s="399"/>
    </row>
    <row r="90" spans="1:7" s="5" customFormat="1" ht="12.75" customHeight="1">
      <c r="A90" s="268" t="s">
        <v>338</v>
      </c>
      <c r="B90" s="269" t="s">
        <v>408</v>
      </c>
      <c r="C90" s="270"/>
      <c r="D90" s="271"/>
      <c r="E90" s="272"/>
      <c r="F90" s="398">
        <f>F91+F92</f>
        <v>9706.11</v>
      </c>
      <c r="G90" s="398">
        <f>G91+G92</f>
        <v>48204.01000000037</v>
      </c>
    </row>
    <row r="91" spans="1:7" s="5" customFormat="1" ht="12.75" customHeight="1">
      <c r="A91" s="310" t="s">
        <v>409</v>
      </c>
      <c r="B91" s="261"/>
      <c r="C91" s="311" t="s">
        <v>410</v>
      </c>
      <c r="D91" s="312"/>
      <c r="E91" s="302"/>
      <c r="F91" s="398">
        <f>VRA!H56</f>
        <v>-38497.90000000037</v>
      </c>
      <c r="G91" s="398">
        <f>VRA!I56</f>
        <v>24822.790000000372</v>
      </c>
    </row>
    <row r="92" spans="1:7" s="5" customFormat="1" ht="12.75" customHeight="1">
      <c r="A92" s="310" t="s">
        <v>411</v>
      </c>
      <c r="B92" s="261"/>
      <c r="C92" s="311" t="s">
        <v>412</v>
      </c>
      <c r="D92" s="312"/>
      <c r="E92" s="302"/>
      <c r="F92" s="398">
        <f>G90</f>
        <v>48204.01000000037</v>
      </c>
      <c r="G92" s="521">
        <v>23381.22</v>
      </c>
    </row>
    <row r="93" spans="1:7" s="5" customFormat="1" ht="12.75" customHeight="1">
      <c r="A93" s="12" t="s">
        <v>413</v>
      </c>
      <c r="B93" s="62" t="s">
        <v>414</v>
      </c>
      <c r="C93" s="63"/>
      <c r="D93" s="63"/>
      <c r="E93" s="25"/>
      <c r="F93" s="400"/>
      <c r="G93" s="400"/>
    </row>
    <row r="94" spans="1:7" s="5" customFormat="1" ht="25.5" customHeight="1">
      <c r="A94" s="259"/>
      <c r="B94" s="618" t="s">
        <v>415</v>
      </c>
      <c r="C94" s="618"/>
      <c r="D94" s="618"/>
      <c r="E94" s="299"/>
      <c r="F94" s="397">
        <f>IF(F59+F64+F84+F93=F58,F59+F64+F84+F93,0)</f>
        <v>38751542.120000005</v>
      </c>
      <c r="G94" s="397">
        <f>IF(G59+G64+G84+G93=G58,G59+G64+G84+G93,0)</f>
        <v>39535147.480000004</v>
      </c>
    </row>
    <row r="95" spans="1:7" s="5" customFormat="1" ht="12.75">
      <c r="A95" s="64"/>
      <c r="B95" s="65"/>
      <c r="C95" s="65"/>
      <c r="D95" s="65"/>
      <c r="E95" s="65"/>
      <c r="F95" s="2"/>
      <c r="G95" s="2"/>
    </row>
    <row r="96" spans="1:7" s="561" customFormat="1" ht="29.25" customHeight="1">
      <c r="A96" s="619" t="s">
        <v>690</v>
      </c>
      <c r="B96" s="619"/>
      <c r="C96" s="619"/>
      <c r="D96" s="619"/>
      <c r="E96" s="619"/>
      <c r="F96" s="620" t="s">
        <v>691</v>
      </c>
      <c r="G96" s="620"/>
    </row>
    <row r="97" spans="1:7" s="5" customFormat="1" ht="12.75" customHeight="1">
      <c r="A97" s="621" t="s">
        <v>416</v>
      </c>
      <c r="B97" s="621"/>
      <c r="C97" s="621"/>
      <c r="D97" s="621"/>
      <c r="E97" s="621"/>
      <c r="F97" s="621" t="s">
        <v>417</v>
      </c>
      <c r="G97" s="621"/>
    </row>
    <row r="98" spans="1:7" s="5" customFormat="1" ht="12.75">
      <c r="A98" s="66"/>
      <c r="B98" s="66"/>
      <c r="C98" s="66"/>
      <c r="D98" s="66"/>
      <c r="E98" s="6"/>
      <c r="F98" s="10"/>
      <c r="G98" s="10"/>
    </row>
    <row r="99" s="5" customFormat="1" ht="12.75">
      <c r="E99" s="2"/>
    </row>
    <row r="100" s="5" customFormat="1" ht="12.75">
      <c r="E100" s="2"/>
    </row>
    <row r="101" s="5" customFormat="1" ht="12.75">
      <c r="E101" s="2"/>
    </row>
    <row r="102" s="5" customFormat="1" ht="12.75">
      <c r="E102" s="2"/>
    </row>
    <row r="103" s="5" customFormat="1" ht="12.75">
      <c r="E103" s="2"/>
    </row>
    <row r="104" s="5" customFormat="1" ht="12.75">
      <c r="E104" s="2"/>
    </row>
    <row r="105" s="5" customFormat="1" ht="12.75">
      <c r="E105" s="2"/>
    </row>
    <row r="106" s="5" customFormat="1" ht="12.75">
      <c r="E106" s="2"/>
    </row>
    <row r="107" s="5" customFormat="1" ht="12.75">
      <c r="E107" s="2"/>
    </row>
    <row r="108" s="5" customFormat="1" ht="12.75">
      <c r="E108" s="2"/>
    </row>
    <row r="109" s="5" customFormat="1" ht="12.75">
      <c r="E109" s="2"/>
    </row>
    <row r="110" s="5" customFormat="1" ht="12.75">
      <c r="E110" s="2"/>
    </row>
    <row r="111" s="5" customFormat="1" ht="12.75">
      <c r="E111" s="2"/>
    </row>
    <row r="112" s="5" customFormat="1" ht="12.75">
      <c r="E112" s="2"/>
    </row>
    <row r="113" s="5" customFormat="1" ht="12.75">
      <c r="E113" s="2"/>
    </row>
    <row r="114" s="5" customFormat="1" ht="12.75">
      <c r="E114" s="2"/>
    </row>
    <row r="115" s="5" customFormat="1" ht="12.75">
      <c r="E115" s="2"/>
    </row>
    <row r="116" s="5" customFormat="1" ht="12.75">
      <c r="E116" s="2"/>
    </row>
    <row r="117" s="5" customFormat="1" ht="12.75">
      <c r="E117" s="2"/>
    </row>
    <row r="118" s="5" customFormat="1" ht="12.75">
      <c r="E118" s="2"/>
    </row>
    <row r="119" s="5" customFormat="1" ht="12.75">
      <c r="E119" s="2"/>
    </row>
    <row r="120" s="5" customFormat="1" ht="12.75">
      <c r="E120" s="2"/>
    </row>
    <row r="121" s="5" customFormat="1" ht="12.75">
      <c r="E121" s="2"/>
    </row>
  </sheetData>
  <sheetProtection/>
  <mergeCells count="22">
    <mergeCell ref="A97:E97"/>
    <mergeCell ref="F97:G97"/>
    <mergeCell ref="B62:D62"/>
    <mergeCell ref="B94:D94"/>
    <mergeCell ref="A96:E96"/>
    <mergeCell ref="F96:G96"/>
    <mergeCell ref="A13:G13"/>
    <mergeCell ref="A14:G14"/>
    <mergeCell ref="A16:G16"/>
    <mergeCell ref="A17:G17"/>
    <mergeCell ref="D18:G18"/>
    <mergeCell ref="B19:D19"/>
    <mergeCell ref="C47:D47"/>
    <mergeCell ref="C53:D53"/>
    <mergeCell ref="E2:G2"/>
    <mergeCell ref="E3:G3"/>
    <mergeCell ref="A5:G6"/>
    <mergeCell ref="A7:G7"/>
    <mergeCell ref="A8:G8"/>
    <mergeCell ref="A9:G9"/>
    <mergeCell ref="A10:G11"/>
    <mergeCell ref="A12:E12"/>
  </mergeCells>
  <printOptions/>
  <pageMargins left="0.35433070866141736" right="0.75"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6"/>
  <sheetViews>
    <sheetView zoomScalePageLayoutView="0" workbookViewId="0" topLeftCell="A1">
      <selection activeCell="D3" sqref="D3"/>
    </sheetView>
  </sheetViews>
  <sheetFormatPr defaultColWidth="9.140625" defaultRowHeight="12.75"/>
  <cols>
    <col min="1" max="1" width="5.140625" style="184" customWidth="1"/>
    <col min="2" max="2" width="1.421875" style="184" customWidth="1"/>
    <col min="3" max="3" width="35.421875" style="184" customWidth="1"/>
    <col min="4" max="7" width="12.421875" style="184" customWidth="1"/>
    <col min="8" max="16384" width="9.140625" style="184" customWidth="1"/>
  </cols>
  <sheetData>
    <row r="1" spans="1:7" ht="12.75">
      <c r="A1" s="170"/>
      <c r="B1" s="170"/>
      <c r="C1" s="170"/>
      <c r="D1" s="689" t="s">
        <v>711</v>
      </c>
      <c r="E1" s="689"/>
      <c r="F1" s="689"/>
      <c r="G1" s="689"/>
    </row>
    <row r="2" spans="1:7" ht="12.75">
      <c r="A2" s="170"/>
      <c r="B2" s="169"/>
      <c r="C2" s="170"/>
      <c r="D2" s="169" t="s">
        <v>146</v>
      </c>
      <c r="E2" s="169"/>
      <c r="F2" s="169"/>
      <c r="G2" s="207"/>
    </row>
    <row r="3" spans="1:7" ht="12.75">
      <c r="A3" s="170"/>
      <c r="B3" s="169"/>
      <c r="C3" s="170"/>
      <c r="D3" s="4" t="s">
        <v>65</v>
      </c>
      <c r="E3" s="169"/>
      <c r="F3" s="169"/>
      <c r="G3" s="207"/>
    </row>
    <row r="4" spans="1:7" ht="12.75">
      <c r="A4" s="170"/>
      <c r="B4" s="170"/>
      <c r="C4" s="170"/>
      <c r="D4" s="170"/>
      <c r="E4" s="170"/>
      <c r="F4" s="170"/>
      <c r="G4" s="170"/>
    </row>
    <row r="5" spans="1:7" ht="35.25" customHeight="1">
      <c r="A5" s="683" t="s">
        <v>147</v>
      </c>
      <c r="B5" s="683"/>
      <c r="C5" s="683"/>
      <c r="D5" s="683"/>
      <c r="E5" s="683"/>
      <c r="F5" s="683"/>
      <c r="G5" s="683"/>
    </row>
    <row r="6" spans="1:7" ht="12.75">
      <c r="A6" s="170"/>
      <c r="B6" s="170"/>
      <c r="C6" s="170"/>
      <c r="D6" s="170"/>
      <c r="E6" s="170"/>
      <c r="F6" s="170"/>
      <c r="G6" s="170"/>
    </row>
    <row r="7" spans="1:7" ht="15.75">
      <c r="A7" s="690" t="s">
        <v>148</v>
      </c>
      <c r="B7" s="690"/>
      <c r="C7" s="690"/>
      <c r="D7" s="690"/>
      <c r="E7" s="690"/>
      <c r="F7" s="690"/>
      <c r="G7" s="690"/>
    </row>
    <row r="8" spans="1:7" ht="12.75">
      <c r="A8" s="170"/>
      <c r="B8" s="170"/>
      <c r="C8" s="170"/>
      <c r="D8" s="170"/>
      <c r="E8" s="170"/>
      <c r="F8" s="170"/>
      <c r="G8" s="170"/>
    </row>
    <row r="9" spans="1:7" ht="38.25" customHeight="1">
      <c r="A9" s="584" t="s">
        <v>295</v>
      </c>
      <c r="B9" s="691" t="s">
        <v>707</v>
      </c>
      <c r="C9" s="692"/>
      <c r="D9" s="584" t="s">
        <v>298</v>
      </c>
      <c r="E9" s="584"/>
      <c r="F9" s="584" t="s">
        <v>299</v>
      </c>
      <c r="G9" s="584"/>
    </row>
    <row r="10" spans="1:7" ht="25.5">
      <c r="A10" s="584"/>
      <c r="B10" s="693"/>
      <c r="C10" s="694"/>
      <c r="D10" s="38" t="s">
        <v>117</v>
      </c>
      <c r="E10" s="38" t="s">
        <v>149</v>
      </c>
      <c r="F10" s="38" t="s">
        <v>117</v>
      </c>
      <c r="G10" s="38" t="s">
        <v>149</v>
      </c>
    </row>
    <row r="11" spans="1:7" ht="12.75">
      <c r="A11" s="38">
        <v>1</v>
      </c>
      <c r="B11" s="700">
        <v>2</v>
      </c>
      <c r="C11" s="701"/>
      <c r="D11" s="38">
        <v>3</v>
      </c>
      <c r="E11" s="38">
        <v>4</v>
      </c>
      <c r="F11" s="38">
        <v>5</v>
      </c>
      <c r="G11" s="38">
        <v>6</v>
      </c>
    </row>
    <row r="12" spans="1:7" ht="37.5" customHeight="1">
      <c r="A12" s="362" t="s">
        <v>509</v>
      </c>
      <c r="B12" s="698" t="s">
        <v>150</v>
      </c>
      <c r="C12" s="699"/>
      <c r="D12" s="441">
        <f>D13+D14+D15+D16-D17</f>
        <v>0</v>
      </c>
      <c r="E12" s="441">
        <f>E13+E14+E15+E16-E17</f>
        <v>0</v>
      </c>
      <c r="F12" s="441">
        <f>F13+F14+F15+F16-F17</f>
        <v>0</v>
      </c>
      <c r="G12" s="441">
        <f>G13+G14+G15+G16-G17</f>
        <v>0</v>
      </c>
    </row>
    <row r="13" spans="1:7" ht="15.75" customHeight="1">
      <c r="A13" s="38" t="s">
        <v>708</v>
      </c>
      <c r="B13" s="40"/>
      <c r="C13" s="208" t="s">
        <v>151</v>
      </c>
      <c r="D13" s="442"/>
      <c r="E13" s="442"/>
      <c r="F13" s="442"/>
      <c r="G13" s="442"/>
    </row>
    <row r="14" spans="1:7" ht="15.75" customHeight="1">
      <c r="A14" s="38" t="s">
        <v>709</v>
      </c>
      <c r="B14" s="40"/>
      <c r="C14" s="208" t="s">
        <v>152</v>
      </c>
      <c r="D14" s="442"/>
      <c r="E14" s="442"/>
      <c r="F14" s="442"/>
      <c r="G14" s="442"/>
    </row>
    <row r="15" spans="1:7" ht="15.75" customHeight="1">
      <c r="A15" s="38" t="s">
        <v>557</v>
      </c>
      <c r="B15" s="40"/>
      <c r="C15" s="208" t="s">
        <v>153</v>
      </c>
      <c r="D15" s="442"/>
      <c r="E15" s="442"/>
      <c r="F15" s="442"/>
      <c r="G15" s="442"/>
    </row>
    <row r="16" spans="1:7" ht="15.75" customHeight="1">
      <c r="A16" s="38" t="s">
        <v>713</v>
      </c>
      <c r="B16" s="40"/>
      <c r="C16" s="208" t="s">
        <v>154</v>
      </c>
      <c r="D16" s="442"/>
      <c r="E16" s="442"/>
      <c r="F16" s="442"/>
      <c r="G16" s="442"/>
    </row>
    <row r="17" spans="1:7" ht="15.75" customHeight="1">
      <c r="A17" s="209" t="s">
        <v>717</v>
      </c>
      <c r="B17" s="40"/>
      <c r="C17" s="208" t="s">
        <v>155</v>
      </c>
      <c r="D17" s="442"/>
      <c r="E17" s="442"/>
      <c r="F17" s="442"/>
      <c r="G17" s="442"/>
    </row>
    <row r="18" spans="1:7" ht="25.5" customHeight="1">
      <c r="A18" s="362" t="s">
        <v>510</v>
      </c>
      <c r="B18" s="698" t="s">
        <v>156</v>
      </c>
      <c r="C18" s="699"/>
      <c r="D18" s="441">
        <f>D19+D20+D21+D22-D23</f>
        <v>0</v>
      </c>
      <c r="E18" s="441">
        <f>E19+E20+E21+E22-E23</f>
        <v>0</v>
      </c>
      <c r="F18" s="441">
        <f>F19+F20+F21+F22-F23</f>
        <v>8464.81</v>
      </c>
      <c r="G18" s="441">
        <f>G19+G20+G21+G22-G23</f>
        <v>8464.81</v>
      </c>
    </row>
    <row r="19" spans="1:7" ht="15.75" customHeight="1">
      <c r="A19" s="38" t="s">
        <v>157</v>
      </c>
      <c r="B19" s="40"/>
      <c r="C19" s="208" t="s">
        <v>158</v>
      </c>
      <c r="D19" s="442"/>
      <c r="E19" s="442"/>
      <c r="F19" s="442">
        <v>8464.81</v>
      </c>
      <c r="G19" s="442">
        <v>8464.81</v>
      </c>
    </row>
    <row r="20" spans="1:7" ht="15.75" customHeight="1">
      <c r="A20" s="38" t="s">
        <v>159</v>
      </c>
      <c r="B20" s="40"/>
      <c r="C20" s="208" t="s">
        <v>152</v>
      </c>
      <c r="D20" s="442"/>
      <c r="E20" s="442"/>
      <c r="F20" s="442"/>
      <c r="G20" s="442"/>
    </row>
    <row r="21" spans="1:7" ht="15.75" customHeight="1">
      <c r="A21" s="38" t="s">
        <v>160</v>
      </c>
      <c r="B21" s="40"/>
      <c r="C21" s="208" t="s">
        <v>153</v>
      </c>
      <c r="D21" s="442"/>
      <c r="E21" s="442"/>
      <c r="F21" s="442"/>
      <c r="G21" s="442"/>
    </row>
    <row r="22" spans="1:7" ht="15.75" customHeight="1">
      <c r="A22" s="38" t="s">
        <v>161</v>
      </c>
      <c r="B22" s="40"/>
      <c r="C22" s="208" t="s">
        <v>154</v>
      </c>
      <c r="D22" s="442"/>
      <c r="E22" s="442"/>
      <c r="F22" s="442"/>
      <c r="G22" s="442"/>
    </row>
    <row r="23" spans="1:7" ht="15.75" customHeight="1">
      <c r="A23" s="209" t="s">
        <v>718</v>
      </c>
      <c r="B23" s="40"/>
      <c r="C23" s="208" t="s">
        <v>155</v>
      </c>
      <c r="D23" s="442"/>
      <c r="E23" s="442"/>
      <c r="F23" s="442"/>
      <c r="G23" s="442"/>
    </row>
    <row r="24" spans="1:7" ht="25.5" customHeight="1">
      <c r="A24" s="362" t="s">
        <v>162</v>
      </c>
      <c r="B24" s="698" t="s">
        <v>178</v>
      </c>
      <c r="C24" s="699"/>
      <c r="D24" s="441">
        <f>D25+D26+D27+D28-D29+D30+D31</f>
        <v>9893.32</v>
      </c>
      <c r="E24" s="441">
        <f>E25+E26+E27+E28-E29+E30+E31</f>
        <v>0</v>
      </c>
      <c r="F24" s="441">
        <f>F25+F26+F27+F28-F29+F30+F31</f>
        <v>7197.95</v>
      </c>
      <c r="G24" s="441">
        <f>G25+G26+G27+G28-G29+G30+G31</f>
        <v>0</v>
      </c>
    </row>
    <row r="25" spans="1:7" ht="15.75" customHeight="1">
      <c r="A25" s="38" t="s">
        <v>179</v>
      </c>
      <c r="B25" s="40"/>
      <c r="C25" s="208" t="s">
        <v>158</v>
      </c>
      <c r="D25" s="442">
        <v>9893.32</v>
      </c>
      <c r="E25" s="442"/>
      <c r="F25" s="442">
        <v>7197.95</v>
      </c>
      <c r="G25" s="442"/>
    </row>
    <row r="26" spans="1:7" ht="15.75" customHeight="1">
      <c r="A26" s="38" t="s">
        <v>180</v>
      </c>
      <c r="B26" s="40"/>
      <c r="C26" s="208" t="s">
        <v>152</v>
      </c>
      <c r="D26" s="442"/>
      <c r="E26" s="442"/>
      <c r="F26" s="442"/>
      <c r="G26" s="442"/>
    </row>
    <row r="27" spans="1:7" ht="15.75" customHeight="1">
      <c r="A27" s="38" t="s">
        <v>181</v>
      </c>
      <c r="B27" s="40"/>
      <c r="C27" s="41" t="s">
        <v>153</v>
      </c>
      <c r="D27" s="442"/>
      <c r="E27" s="442"/>
      <c r="F27" s="442"/>
      <c r="G27" s="442"/>
    </row>
    <row r="28" spans="1:7" ht="15.75" customHeight="1">
      <c r="A28" s="38" t="s">
        <v>182</v>
      </c>
      <c r="B28" s="40"/>
      <c r="C28" s="208" t="s">
        <v>154</v>
      </c>
      <c r="D28" s="442"/>
      <c r="E28" s="442"/>
      <c r="F28" s="442"/>
      <c r="G28" s="442"/>
    </row>
    <row r="29" spans="1:7" ht="15.75" customHeight="1">
      <c r="A29" s="210" t="s">
        <v>720</v>
      </c>
      <c r="B29" s="40"/>
      <c r="C29" s="208" t="s">
        <v>155</v>
      </c>
      <c r="D29" s="442"/>
      <c r="E29" s="442"/>
      <c r="F29" s="442"/>
      <c r="G29" s="442"/>
    </row>
    <row r="30" spans="1:7" ht="15.75" customHeight="1">
      <c r="A30" s="38" t="s">
        <v>183</v>
      </c>
      <c r="B30" s="40"/>
      <c r="C30" s="208" t="s">
        <v>184</v>
      </c>
      <c r="D30" s="442"/>
      <c r="E30" s="442"/>
      <c r="F30" s="442"/>
      <c r="G30" s="442"/>
    </row>
    <row r="31" spans="1:7" ht="15.75" customHeight="1">
      <c r="A31" s="38" t="s">
        <v>185</v>
      </c>
      <c r="B31" s="40"/>
      <c r="C31" s="208" t="s">
        <v>186</v>
      </c>
      <c r="D31" s="442"/>
      <c r="E31" s="442"/>
      <c r="F31" s="442"/>
      <c r="G31" s="442"/>
    </row>
    <row r="32" spans="1:7" ht="15.75" customHeight="1">
      <c r="A32" s="363" t="s">
        <v>515</v>
      </c>
      <c r="B32" s="695" t="s">
        <v>187</v>
      </c>
      <c r="C32" s="696"/>
      <c r="D32" s="443">
        <f>IF(D12+D18+D24=FBA!F57,D12+D18+D24,0)</f>
        <v>9893.32</v>
      </c>
      <c r="E32" s="443">
        <f>E12+E18+E24</f>
        <v>0</v>
      </c>
      <c r="F32" s="443">
        <f>IF(F12+F18+F24=FBA!G57,F12+F18+F24,0)</f>
        <v>15662.759999999998</v>
      </c>
      <c r="G32" s="443">
        <f>G12+G18+G24</f>
        <v>8464.81</v>
      </c>
    </row>
    <row r="33" spans="1:7" ht="15.75" customHeight="1">
      <c r="A33" s="199" t="s">
        <v>188</v>
      </c>
      <c r="B33" s="697" t="s">
        <v>189</v>
      </c>
      <c r="C33" s="697"/>
      <c r="D33" s="439"/>
      <c r="E33" s="439"/>
      <c r="F33" s="439"/>
      <c r="G33" s="439"/>
    </row>
    <row r="34" spans="1:7" ht="12.75">
      <c r="A34" s="203"/>
      <c r="B34" s="158"/>
      <c r="C34" s="158"/>
      <c r="D34" s="204"/>
      <c r="E34" s="204"/>
      <c r="F34" s="204"/>
      <c r="G34" s="204"/>
    </row>
    <row r="35" spans="1:7" ht="12.75">
      <c r="A35" s="203"/>
      <c r="B35" s="158"/>
      <c r="C35" s="158"/>
      <c r="D35" s="211"/>
      <c r="E35" s="211"/>
      <c r="F35" s="204"/>
      <c r="G35" s="204"/>
    </row>
    <row r="36" spans="1:7" ht="12.75">
      <c r="A36" s="203"/>
      <c r="B36" s="158"/>
      <c r="C36" s="158"/>
      <c r="D36" s="204"/>
      <c r="E36" s="204"/>
      <c r="F36" s="204"/>
      <c r="G36" s="204"/>
    </row>
  </sheetData>
  <sheetProtection/>
  <mergeCells count="13">
    <mergeCell ref="B32:C32"/>
    <mergeCell ref="B33:C33"/>
    <mergeCell ref="F9:G9"/>
    <mergeCell ref="B12:C12"/>
    <mergeCell ref="B18:C18"/>
    <mergeCell ref="B24:C24"/>
    <mergeCell ref="B11:C11"/>
    <mergeCell ref="D1:G1"/>
    <mergeCell ref="A5:G5"/>
    <mergeCell ref="A7:G7"/>
    <mergeCell ref="A9:A10"/>
    <mergeCell ref="B9:C10"/>
    <mergeCell ref="D9:E9"/>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25"/>
  <sheetViews>
    <sheetView zoomScalePageLayoutView="0" workbookViewId="0" topLeftCell="A7">
      <pane ySplit="4455" topLeftCell="BM16" activePane="bottomLeft" state="split"/>
      <selection pane="topLeft" activeCell="A7" sqref="A7"/>
      <selection pane="bottomLeft" activeCell="G28" sqref="G28"/>
    </sheetView>
  </sheetViews>
  <sheetFormatPr defaultColWidth="9.140625" defaultRowHeight="12.75"/>
  <cols>
    <col min="1" max="1" width="4.57421875" style="212" customWidth="1"/>
    <col min="2" max="2" width="29.00390625" style="163" customWidth="1"/>
    <col min="3" max="3" width="12.28125" style="163" customWidth="1"/>
    <col min="4" max="4" width="10.8515625" style="163" customWidth="1"/>
    <col min="5" max="5" width="8.00390625" style="163" customWidth="1"/>
    <col min="6" max="6" width="9.140625" style="163" customWidth="1"/>
    <col min="7" max="7" width="7.8515625" style="163" customWidth="1"/>
    <col min="8" max="9" width="10.8515625" style="163" customWidth="1"/>
    <col min="10" max="10" width="8.7109375" style="163" customWidth="1"/>
    <col min="11" max="11" width="9.57421875" style="163" customWidth="1"/>
    <col min="12" max="12" width="11.00390625" style="163" customWidth="1"/>
    <col min="13" max="13" width="12.421875" style="163" customWidth="1"/>
    <col min="14" max="16384" width="9.140625" style="163" customWidth="1"/>
  </cols>
  <sheetData>
    <row r="1" spans="9:11" ht="15">
      <c r="I1" s="161"/>
      <c r="J1" s="161"/>
      <c r="K1" s="161"/>
    </row>
    <row r="2" spans="9:14" ht="15">
      <c r="I2" s="702" t="s">
        <v>214</v>
      </c>
      <c r="J2" s="703"/>
      <c r="K2" s="703"/>
      <c r="L2" s="703"/>
      <c r="M2" s="703"/>
      <c r="N2" s="255"/>
    </row>
    <row r="3" spans="9:14" ht="15">
      <c r="I3" s="704" t="s">
        <v>712</v>
      </c>
      <c r="J3" s="705"/>
      <c r="K3" s="705"/>
      <c r="L3" s="705"/>
      <c r="M3" s="705"/>
      <c r="N3" s="255"/>
    </row>
    <row r="4" ht="15">
      <c r="I4" s="163" t="s">
        <v>290</v>
      </c>
    </row>
    <row r="5" spans="1:13" ht="15">
      <c r="A5" s="611" t="s">
        <v>190</v>
      </c>
      <c r="B5" s="611"/>
      <c r="C5" s="611"/>
      <c r="D5" s="611"/>
      <c r="E5" s="611"/>
      <c r="F5" s="611"/>
      <c r="G5" s="611"/>
      <c r="H5" s="611"/>
      <c r="I5" s="611"/>
      <c r="J5" s="611"/>
      <c r="K5" s="611"/>
      <c r="L5" s="611"/>
      <c r="M5" s="611"/>
    </row>
    <row r="6" spans="1:13" ht="15">
      <c r="A6" s="611" t="s">
        <v>191</v>
      </c>
      <c r="B6" s="611"/>
      <c r="C6" s="611"/>
      <c r="D6" s="611"/>
      <c r="E6" s="611"/>
      <c r="F6" s="611"/>
      <c r="G6" s="611"/>
      <c r="H6" s="611"/>
      <c r="I6" s="611"/>
      <c r="J6" s="611"/>
      <c r="K6" s="611"/>
      <c r="L6" s="611"/>
      <c r="M6" s="611"/>
    </row>
    <row r="7" ht="15">
      <c r="D7" s="163" t="s">
        <v>67</v>
      </c>
    </row>
    <row r="8" spans="1:13" ht="15">
      <c r="A8" s="611" t="s">
        <v>192</v>
      </c>
      <c r="B8" s="611"/>
      <c r="C8" s="611"/>
      <c r="D8" s="611"/>
      <c r="E8" s="611"/>
      <c r="F8" s="611"/>
      <c r="G8" s="611"/>
      <c r="H8" s="611"/>
      <c r="I8" s="611"/>
      <c r="J8" s="611"/>
      <c r="K8" s="611"/>
      <c r="L8" s="611"/>
      <c r="M8" s="611"/>
    </row>
    <row r="10" spans="1:13" ht="15" customHeight="1">
      <c r="A10" s="598" t="s">
        <v>295</v>
      </c>
      <c r="B10" s="598" t="s">
        <v>193</v>
      </c>
      <c r="C10" s="598" t="s">
        <v>194</v>
      </c>
      <c r="D10" s="598" t="s">
        <v>716</v>
      </c>
      <c r="E10" s="598"/>
      <c r="F10" s="598"/>
      <c r="G10" s="598"/>
      <c r="H10" s="598"/>
      <c r="I10" s="598"/>
      <c r="J10" s="598"/>
      <c r="K10" s="598"/>
      <c r="L10" s="598"/>
      <c r="M10" s="643" t="s">
        <v>195</v>
      </c>
    </row>
    <row r="11" spans="1:13" ht="150" customHeight="1">
      <c r="A11" s="598"/>
      <c r="B11" s="598"/>
      <c r="C11" s="598"/>
      <c r="D11" s="83" t="s">
        <v>250</v>
      </c>
      <c r="E11" s="83" t="s">
        <v>196</v>
      </c>
      <c r="F11" s="83" t="s">
        <v>197</v>
      </c>
      <c r="G11" s="83" t="s">
        <v>198</v>
      </c>
      <c r="H11" s="83" t="s">
        <v>199</v>
      </c>
      <c r="I11" s="364" t="s">
        <v>200</v>
      </c>
      <c r="J11" s="83" t="s">
        <v>201</v>
      </c>
      <c r="K11" s="11" t="s">
        <v>202</v>
      </c>
      <c r="L11" s="365" t="s">
        <v>203</v>
      </c>
      <c r="M11" s="643"/>
    </row>
    <row r="12" spans="1:13" ht="15">
      <c r="A12" s="89">
        <v>1</v>
      </c>
      <c r="B12" s="89">
        <v>2</v>
      </c>
      <c r="C12" s="89">
        <v>3</v>
      </c>
      <c r="D12" s="89">
        <v>4</v>
      </c>
      <c r="E12" s="89">
        <v>5</v>
      </c>
      <c r="F12" s="89">
        <v>6</v>
      </c>
      <c r="G12" s="89">
        <v>7</v>
      </c>
      <c r="H12" s="89">
        <v>8</v>
      </c>
      <c r="I12" s="89">
        <v>9</v>
      </c>
      <c r="J12" s="89">
        <v>10</v>
      </c>
      <c r="K12" s="213" t="s">
        <v>204</v>
      </c>
      <c r="L12" s="89">
        <v>12</v>
      </c>
      <c r="M12" s="347">
        <v>13</v>
      </c>
    </row>
    <row r="13" spans="1:13" ht="85.5">
      <c r="A13" s="346" t="s">
        <v>509</v>
      </c>
      <c r="B13" s="348" t="s">
        <v>205</v>
      </c>
      <c r="C13" s="444">
        <f>IF(C14+C15=FBA!G60,C14+C15,0)</f>
        <v>0</v>
      </c>
      <c r="D13" s="444">
        <f>D14+D15</f>
        <v>363093.35</v>
      </c>
      <c r="E13" s="444">
        <f aca="true" t="shared" si="0" ref="E13:K13">E14+E15</f>
        <v>0</v>
      </c>
      <c r="F13" s="444">
        <f t="shared" si="0"/>
        <v>0</v>
      </c>
      <c r="G13" s="444">
        <f t="shared" si="0"/>
        <v>0</v>
      </c>
      <c r="H13" s="444">
        <f t="shared" si="0"/>
        <v>0</v>
      </c>
      <c r="I13" s="444">
        <f t="shared" si="0"/>
        <v>363093.35</v>
      </c>
      <c r="J13" s="444">
        <f t="shared" si="0"/>
        <v>0</v>
      </c>
      <c r="K13" s="444">
        <f t="shared" si="0"/>
        <v>0</v>
      </c>
      <c r="L13" s="444">
        <f>IF(L14+L15='FSL-20-5'!F13-'FSL-20-5'!C13,L14+L15,0)</f>
        <v>0</v>
      </c>
      <c r="M13" s="444">
        <f>IF(M14+M15=FBA!F60,M14+M15,0)</f>
        <v>0</v>
      </c>
    </row>
    <row r="14" spans="1:13" ht="15" customHeight="1">
      <c r="A14" s="164" t="s">
        <v>708</v>
      </c>
      <c r="B14" s="166" t="s">
        <v>206</v>
      </c>
      <c r="C14" s="445"/>
      <c r="D14" s="445">
        <v>3984.7</v>
      </c>
      <c r="E14" s="445"/>
      <c r="F14" s="445"/>
      <c r="G14" s="445"/>
      <c r="H14" s="445"/>
      <c r="I14" s="445">
        <v>3984.7</v>
      </c>
      <c r="J14" s="445"/>
      <c r="K14" s="445"/>
      <c r="L14" s="445"/>
      <c r="M14" s="444">
        <f>C14+D14+E14+F14-G14-H14-I14-J14-K14+L14</f>
        <v>0</v>
      </c>
    </row>
    <row r="15" spans="1:13" ht="15" customHeight="1">
      <c r="A15" s="164" t="s">
        <v>709</v>
      </c>
      <c r="B15" s="166" t="s">
        <v>207</v>
      </c>
      <c r="C15" s="445"/>
      <c r="D15" s="445">
        <f>343018.18+5240.32+7834.85+7000-3984.7</f>
        <v>359108.64999999997</v>
      </c>
      <c r="E15" s="445"/>
      <c r="F15" s="445"/>
      <c r="G15" s="445"/>
      <c r="H15" s="445"/>
      <c r="I15" s="445">
        <f>363093.35-3984.7</f>
        <v>359108.64999999997</v>
      </c>
      <c r="J15" s="445"/>
      <c r="K15" s="445"/>
      <c r="L15" s="445"/>
      <c r="M15" s="444">
        <f>C15+D15+E15+F15-G15-H15-I15-J15-K15+L15</f>
        <v>0</v>
      </c>
    </row>
    <row r="16" spans="1:13" ht="86.25" customHeight="1">
      <c r="A16" s="346" t="s">
        <v>510</v>
      </c>
      <c r="B16" s="348" t="s">
        <v>208</v>
      </c>
      <c r="C16" s="444">
        <f>IF(C17+C18=FBA!G61,C17+C18,0)</f>
        <v>39346931.64</v>
      </c>
      <c r="D16" s="444">
        <f aca="true" t="shared" si="1" ref="D16:K16">D17+D18</f>
        <v>2195191</v>
      </c>
      <c r="E16" s="444">
        <f t="shared" si="1"/>
        <v>0</v>
      </c>
      <c r="F16" s="444">
        <f t="shared" si="1"/>
        <v>0</v>
      </c>
      <c r="G16" s="444">
        <f t="shared" si="1"/>
        <v>3288</v>
      </c>
      <c r="H16" s="444">
        <f t="shared" si="1"/>
        <v>0</v>
      </c>
      <c r="I16" s="444">
        <f t="shared" si="1"/>
        <v>2892157.53</v>
      </c>
      <c r="J16" s="444">
        <f t="shared" si="1"/>
        <v>0</v>
      </c>
      <c r="K16" s="444">
        <f t="shared" si="1"/>
        <v>12043.789999999999</v>
      </c>
      <c r="L16" s="444">
        <f>IF(L17+L18='FSL-20-5'!F14-'FSL-20-5'!C14,L17+L18,0)</f>
        <v>0</v>
      </c>
      <c r="M16" s="444">
        <f>IF(M17+M18=FBA!F61,M17+M18,0)</f>
        <v>38634633.32</v>
      </c>
    </row>
    <row r="17" spans="1:13" ht="15" customHeight="1">
      <c r="A17" s="164" t="s">
        <v>622</v>
      </c>
      <c r="B17" s="166" t="s">
        <v>206</v>
      </c>
      <c r="C17" s="445">
        <v>39343737.06</v>
      </c>
      <c r="D17" s="445">
        <v>151647.33</v>
      </c>
      <c r="E17" s="445"/>
      <c r="F17" s="445"/>
      <c r="G17" s="445">
        <v>3288</v>
      </c>
      <c r="H17" s="445"/>
      <c r="I17" s="445">
        <f>862807.66+598.71</f>
        <v>863406.37</v>
      </c>
      <c r="J17" s="445"/>
      <c r="K17" s="445"/>
      <c r="L17" s="445"/>
      <c r="M17" s="444">
        <f>C17+D17+E17+F17-G17-H17-I17-J17-K17+L17</f>
        <v>38628690.02</v>
      </c>
    </row>
    <row r="18" spans="1:13" ht="15" customHeight="1">
      <c r="A18" s="164" t="s">
        <v>624</v>
      </c>
      <c r="B18" s="166" t="s">
        <v>207</v>
      </c>
      <c r="C18" s="445">
        <v>3194.58</v>
      </c>
      <c r="D18" s="445">
        <f>30000+2165191-151647.33</f>
        <v>2043543.67</v>
      </c>
      <c r="E18" s="445"/>
      <c r="F18" s="445"/>
      <c r="G18" s="445"/>
      <c r="H18" s="445"/>
      <c r="I18" s="445">
        <v>2028751.16</v>
      </c>
      <c r="J18" s="445"/>
      <c r="K18" s="445">
        <f>11670.4+373.39</f>
        <v>12043.789999999999</v>
      </c>
      <c r="L18" s="445"/>
      <c r="M18" s="444">
        <f>C18+D18+E18+F18-G18-H18-I18-J18-K18+L18</f>
        <v>5943.300000000085</v>
      </c>
    </row>
    <row r="19" spans="1:13" ht="114.75" customHeight="1">
      <c r="A19" s="346" t="s">
        <v>513</v>
      </c>
      <c r="B19" s="348" t="s">
        <v>209</v>
      </c>
      <c r="C19" s="444">
        <f>IF(C20+C21=FBA!G62,C20+C21,0)</f>
        <v>0</v>
      </c>
      <c r="D19" s="444">
        <f aca="true" t="shared" si="2" ref="D19:K19">D20+D21</f>
        <v>0</v>
      </c>
      <c r="E19" s="444">
        <f t="shared" si="2"/>
        <v>0</v>
      </c>
      <c r="F19" s="444">
        <f t="shared" si="2"/>
        <v>0</v>
      </c>
      <c r="G19" s="444">
        <f t="shared" si="2"/>
        <v>0</v>
      </c>
      <c r="H19" s="444">
        <f t="shared" si="2"/>
        <v>0</v>
      </c>
      <c r="I19" s="444">
        <f t="shared" si="2"/>
        <v>0</v>
      </c>
      <c r="J19" s="444">
        <f t="shared" si="2"/>
        <v>0</v>
      </c>
      <c r="K19" s="444">
        <f t="shared" si="2"/>
        <v>0</v>
      </c>
      <c r="L19" s="444">
        <f>IF(L20+L21='FSL-20-5'!F15-'FSL-20-5'!C15,L20+L21,0)</f>
        <v>0</v>
      </c>
      <c r="M19" s="444">
        <f>IF(M20+M21=FBA!F62,M20+M21,0)</f>
        <v>0</v>
      </c>
    </row>
    <row r="20" spans="1:13" ht="15" customHeight="1">
      <c r="A20" s="164" t="s">
        <v>627</v>
      </c>
      <c r="B20" s="166" t="s">
        <v>206</v>
      </c>
      <c r="C20" s="445"/>
      <c r="D20" s="445"/>
      <c r="E20" s="445"/>
      <c r="F20" s="445"/>
      <c r="G20" s="445"/>
      <c r="H20" s="445"/>
      <c r="I20" s="445"/>
      <c r="J20" s="445"/>
      <c r="K20" s="445"/>
      <c r="L20" s="445"/>
      <c r="M20" s="444">
        <f>C20+D20+E20+F20-G20-H20-I20-J20-K20+L20</f>
        <v>0</v>
      </c>
    </row>
    <row r="21" spans="1:13" ht="15" customHeight="1">
      <c r="A21" s="164" t="s">
        <v>629</v>
      </c>
      <c r="B21" s="166" t="s">
        <v>207</v>
      </c>
      <c r="C21" s="445"/>
      <c r="D21" s="445"/>
      <c r="E21" s="445"/>
      <c r="F21" s="445"/>
      <c r="G21" s="445"/>
      <c r="H21" s="445"/>
      <c r="I21" s="445"/>
      <c r="J21" s="445"/>
      <c r="K21" s="445"/>
      <c r="L21" s="445"/>
      <c r="M21" s="444">
        <f>C21+D21+E21+F21-G21-H21-I21-J21-K21+L21</f>
        <v>0</v>
      </c>
    </row>
    <row r="22" spans="1:13" ht="15" customHeight="1">
      <c r="A22" s="346" t="s">
        <v>515</v>
      </c>
      <c r="B22" s="348" t="s">
        <v>210</v>
      </c>
      <c r="C22" s="444">
        <f>IF(C23+C24=FBA!G63,C23+C24,0)</f>
        <v>7197.95</v>
      </c>
      <c r="D22" s="444">
        <f aca="true" t="shared" si="3" ref="D22:K22">D23+D24</f>
        <v>27702.5</v>
      </c>
      <c r="E22" s="444">
        <f t="shared" si="3"/>
        <v>0</v>
      </c>
      <c r="F22" s="444">
        <f t="shared" si="3"/>
        <v>3965.17</v>
      </c>
      <c r="G22" s="444">
        <f t="shared" si="3"/>
        <v>0</v>
      </c>
      <c r="H22" s="444">
        <f t="shared" si="3"/>
        <v>0</v>
      </c>
      <c r="I22" s="444">
        <f t="shared" si="3"/>
        <v>25977.129999999997</v>
      </c>
      <c r="J22" s="444">
        <f t="shared" si="3"/>
        <v>0</v>
      </c>
      <c r="K22" s="444">
        <f t="shared" si="3"/>
        <v>0</v>
      </c>
      <c r="L22" s="444">
        <f>IF(L23+L24='FSL-20-5'!F16-'FSL-20-5'!C16,L23+L24,0)</f>
        <v>0</v>
      </c>
      <c r="M22" s="444">
        <f>IF(M23+M24=FBA!F63,M23+M24,0)</f>
        <v>12888.49</v>
      </c>
    </row>
    <row r="23" spans="1:13" ht="15" customHeight="1">
      <c r="A23" s="164" t="s">
        <v>211</v>
      </c>
      <c r="B23" s="166" t="s">
        <v>206</v>
      </c>
      <c r="C23" s="445"/>
      <c r="D23" s="445">
        <f>2923.92-970</f>
        <v>1953.92</v>
      </c>
      <c r="E23" s="445"/>
      <c r="F23" s="445">
        <f>970+2995.17</f>
        <v>3965.17</v>
      </c>
      <c r="G23" s="445"/>
      <c r="H23" s="445"/>
      <c r="I23" s="445">
        <v>2923.92</v>
      </c>
      <c r="J23" s="445"/>
      <c r="K23" s="445"/>
      <c r="L23" s="445"/>
      <c r="M23" s="444">
        <f>C23+D23+E23+F23-G23-H23-I23-J23-K23+L23</f>
        <v>2995.17</v>
      </c>
    </row>
    <row r="24" spans="1:13" ht="15" customHeight="1">
      <c r="A24" s="164" t="s">
        <v>212</v>
      </c>
      <c r="B24" s="166" t="s">
        <v>207</v>
      </c>
      <c r="C24" s="445">
        <v>7197.95</v>
      </c>
      <c r="D24" s="445">
        <v>25748.58</v>
      </c>
      <c r="E24" s="445"/>
      <c r="F24" s="445"/>
      <c r="G24" s="445"/>
      <c r="H24" s="445"/>
      <c r="I24" s="445">
        <v>23053.21</v>
      </c>
      <c r="J24" s="445"/>
      <c r="K24" s="445"/>
      <c r="L24" s="445"/>
      <c r="M24" s="444">
        <f>C24+D24+E24+F24-G24-H24-I24-J24-K24+L24</f>
        <v>9893.32</v>
      </c>
    </row>
    <row r="25" spans="1:13" ht="27" customHeight="1">
      <c r="A25" s="346" t="s">
        <v>517</v>
      </c>
      <c r="B25" s="348" t="s">
        <v>213</v>
      </c>
      <c r="C25" s="444">
        <f>IF(C13+C16+C19+C22=FBA!G59,C13+C16+C19+C22,0)</f>
        <v>39354129.59</v>
      </c>
      <c r="D25" s="444">
        <f aca="true" t="shared" si="4" ref="D25:K25">D13+D16+D19+D22</f>
        <v>2585986.85</v>
      </c>
      <c r="E25" s="444">
        <f t="shared" si="4"/>
        <v>0</v>
      </c>
      <c r="F25" s="444">
        <f>IF(F13+F16+F19+F22=(('NT-13-1'!M15-'NT-13-1'!M23-'NT-13-1'!M32)+('MT-12-1'!R15-'MT-12-1'!R23-'MT-12-1'!R32)+('Ats-8-1'!J15-'Ats-8-1'!J24)),F13+F16+F19+F22,0)</f>
        <v>3965.17</v>
      </c>
      <c r="G25" s="444">
        <f t="shared" si="4"/>
        <v>3288</v>
      </c>
      <c r="H25" s="444">
        <f t="shared" si="4"/>
        <v>0</v>
      </c>
      <c r="I25" s="444">
        <f t="shared" si="4"/>
        <v>3281228.01</v>
      </c>
      <c r="J25" s="444">
        <f t="shared" si="4"/>
        <v>0</v>
      </c>
      <c r="K25" s="444">
        <f t="shared" si="4"/>
        <v>12043.789999999999</v>
      </c>
      <c r="L25" s="444">
        <f>IF(L13+L16+L19+L22='FSL-20-5'!F17-'FSL-20-5'!C17,L13+L16+L19+L22,0)</f>
        <v>0</v>
      </c>
      <c r="M25" s="444">
        <f>IF(C25+D25+E25+F25-G25-H25-I25-J25-K25+L25=FBA!F59,C25+D25+E25+F25-G25-H25-I25-J25-K25+L25,0)</f>
        <v>38647521.81000001</v>
      </c>
    </row>
  </sheetData>
  <sheetProtection/>
  <mergeCells count="10">
    <mergeCell ref="A8:M8"/>
    <mergeCell ref="M10:M11"/>
    <mergeCell ref="A10:A11"/>
    <mergeCell ref="B10:B11"/>
    <mergeCell ref="C10:C11"/>
    <mergeCell ref="D10:L10"/>
    <mergeCell ref="I2:M2"/>
    <mergeCell ref="I3:M3"/>
    <mergeCell ref="A5:M5"/>
    <mergeCell ref="A6:M6"/>
  </mergeCells>
  <printOptions/>
  <pageMargins left="0.35433070866141736" right="0.15748031496062992" top="0.3937007874015748"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19"/>
  <sheetViews>
    <sheetView zoomScalePageLayoutView="0" workbookViewId="0" topLeftCell="A1">
      <selection activeCell="E3" sqref="E3:H3"/>
    </sheetView>
  </sheetViews>
  <sheetFormatPr defaultColWidth="9.140625" defaultRowHeight="12.75"/>
  <cols>
    <col min="1" max="1" width="4.421875" style="163" customWidth="1"/>
    <col min="2" max="2" width="56.421875" style="163" customWidth="1"/>
    <col min="3" max="3" width="11.57421875" style="163" customWidth="1"/>
    <col min="4" max="4" width="13.28125" style="163" customWidth="1"/>
    <col min="5" max="5" width="15.00390625" style="163" customWidth="1"/>
    <col min="6" max="6" width="11.57421875" style="163" customWidth="1"/>
    <col min="7" max="7" width="14.28125" style="163" customWidth="1"/>
    <col min="8" max="8" width="13.7109375" style="163" customWidth="1"/>
    <col min="9" max="16384" width="9.140625" style="163" customWidth="1"/>
  </cols>
  <sheetData>
    <row r="1" ht="15">
      <c r="F1" s="163" t="s">
        <v>214</v>
      </c>
    </row>
    <row r="2" ht="15">
      <c r="F2" s="163" t="s">
        <v>215</v>
      </c>
    </row>
    <row r="3" spans="5:8" ht="18.75" customHeight="1">
      <c r="E3" s="707" t="s">
        <v>290</v>
      </c>
      <c r="F3" s="707"/>
      <c r="G3" s="707"/>
      <c r="H3" s="707"/>
    </row>
    <row r="4" ht="9" customHeight="1"/>
    <row r="5" spans="1:8" ht="15">
      <c r="A5" s="611" t="s">
        <v>216</v>
      </c>
      <c r="B5" s="611"/>
      <c r="C5" s="611"/>
      <c r="D5" s="611"/>
      <c r="E5" s="611"/>
      <c r="F5" s="611"/>
      <c r="G5" s="611"/>
      <c r="H5" s="611"/>
    </row>
    <row r="6" spans="1:8" ht="15">
      <c r="A6" s="611" t="s">
        <v>191</v>
      </c>
      <c r="B6" s="611"/>
      <c r="C6" s="611"/>
      <c r="D6" s="611"/>
      <c r="E6" s="611"/>
      <c r="F6" s="611"/>
      <c r="G6" s="611"/>
      <c r="H6" s="611"/>
    </row>
    <row r="7" ht="5.25" customHeight="1"/>
    <row r="8" spans="1:8" ht="15">
      <c r="A8" s="611" t="s">
        <v>217</v>
      </c>
      <c r="B8" s="611"/>
      <c r="C8" s="611"/>
      <c r="D8" s="611"/>
      <c r="E8" s="611"/>
      <c r="F8" s="611"/>
      <c r="G8" s="611"/>
      <c r="H8" s="611"/>
    </row>
    <row r="9" ht="5.25" customHeight="1"/>
    <row r="10" spans="1:8" ht="15" customHeight="1">
      <c r="A10" s="706" t="s">
        <v>295</v>
      </c>
      <c r="B10" s="706" t="s">
        <v>218</v>
      </c>
      <c r="C10" s="706" t="s">
        <v>219</v>
      </c>
      <c r="D10" s="706"/>
      <c r="E10" s="706"/>
      <c r="F10" s="706" t="s">
        <v>220</v>
      </c>
      <c r="G10" s="706"/>
      <c r="H10" s="706"/>
    </row>
    <row r="11" spans="1:8" ht="79.5" customHeight="1">
      <c r="A11" s="706"/>
      <c r="B11" s="706"/>
      <c r="C11" s="162" t="s">
        <v>221</v>
      </c>
      <c r="D11" s="162" t="s">
        <v>222</v>
      </c>
      <c r="E11" s="346" t="s">
        <v>506</v>
      </c>
      <c r="F11" s="162" t="s">
        <v>223</v>
      </c>
      <c r="G11" s="162" t="s">
        <v>224</v>
      </c>
      <c r="H11" s="346" t="s">
        <v>506</v>
      </c>
    </row>
    <row r="12" spans="1:8" ht="15">
      <c r="A12" s="164">
        <v>1</v>
      </c>
      <c r="B12" s="164">
        <v>2</v>
      </c>
      <c r="C12" s="164">
        <v>3</v>
      </c>
      <c r="D12" s="164">
        <v>4</v>
      </c>
      <c r="E12" s="349" t="s">
        <v>225</v>
      </c>
      <c r="F12" s="164">
        <v>6</v>
      </c>
      <c r="G12" s="164">
        <v>7</v>
      </c>
      <c r="H12" s="349" t="s">
        <v>226</v>
      </c>
    </row>
    <row r="13" spans="1:8" ht="45">
      <c r="A13" s="164" t="s">
        <v>509</v>
      </c>
      <c r="B13" s="166" t="s">
        <v>227</v>
      </c>
      <c r="C13" s="446"/>
      <c r="D13" s="446"/>
      <c r="E13" s="447">
        <f>IF(C13+D13=FBA!G60,C13+D13,0)</f>
        <v>0</v>
      </c>
      <c r="F13" s="446"/>
      <c r="G13" s="446"/>
      <c r="H13" s="447">
        <f>IF(F13+G13=FBA!F60,F13+G13,0)</f>
        <v>0</v>
      </c>
    </row>
    <row r="14" spans="1:8" ht="54.75" customHeight="1">
      <c r="A14" s="164" t="s">
        <v>510</v>
      </c>
      <c r="B14" s="166" t="s">
        <v>228</v>
      </c>
      <c r="C14" s="446"/>
      <c r="D14" s="446">
        <v>39346931.64</v>
      </c>
      <c r="E14" s="447">
        <f>IF(C14+D14=FBA!G61,C14+D14,0)</f>
        <v>39346931.64</v>
      </c>
      <c r="F14" s="446"/>
      <c r="G14" s="446">
        <v>38634633.32</v>
      </c>
      <c r="H14" s="447">
        <f>IF(F14+G14=FBA!F61,F14+G14,0)</f>
        <v>38634633.32</v>
      </c>
    </row>
    <row r="15" spans="1:8" ht="60" customHeight="1">
      <c r="A15" s="164" t="s">
        <v>513</v>
      </c>
      <c r="B15" s="166" t="s">
        <v>229</v>
      </c>
      <c r="C15" s="446"/>
      <c r="D15" s="446"/>
      <c r="E15" s="447">
        <f>IF(C15+D15=FBA!G62,C15+D15,0)</f>
        <v>0</v>
      </c>
      <c r="F15" s="446"/>
      <c r="G15" s="446"/>
      <c r="H15" s="447">
        <f>IF(F15+G15=FBA!F62,F15+G15,0)</f>
        <v>0</v>
      </c>
    </row>
    <row r="16" spans="1:8" ht="15" customHeight="1">
      <c r="A16" s="164" t="s">
        <v>515</v>
      </c>
      <c r="B16" s="166" t="s">
        <v>374</v>
      </c>
      <c r="C16" s="446"/>
      <c r="D16" s="446">
        <v>7197.95</v>
      </c>
      <c r="E16" s="447">
        <f>IF(C16+D16=FBA!G63,C16+D16,0)</f>
        <v>7197.95</v>
      </c>
      <c r="F16" s="446"/>
      <c r="G16" s="446">
        <v>12888.49</v>
      </c>
      <c r="H16" s="447">
        <f>IF(F16+G16=FBA!F63,F16+G16,0)</f>
        <v>12888.49</v>
      </c>
    </row>
    <row r="17" spans="1:8" ht="15" customHeight="1">
      <c r="A17" s="349" t="s">
        <v>517</v>
      </c>
      <c r="B17" s="366" t="s">
        <v>506</v>
      </c>
      <c r="C17" s="447">
        <f>C13+C14+C15+C16</f>
        <v>0</v>
      </c>
      <c r="D17" s="447">
        <f>D13+D14+D15+D16</f>
        <v>39354129.59</v>
      </c>
      <c r="E17" s="447">
        <f>C17+D17</f>
        <v>39354129.59</v>
      </c>
      <c r="F17" s="447">
        <f>F13+F14+F15+F16</f>
        <v>0</v>
      </c>
      <c r="G17" s="447">
        <f>G13+G14+G15+G16</f>
        <v>38647521.81</v>
      </c>
      <c r="H17" s="447">
        <f>IF(F17+G17=FBA!F59,F17+G17,0)</f>
        <v>38647521.81</v>
      </c>
    </row>
    <row r="18" ht="6.75" customHeight="1"/>
    <row r="19" spans="3:5" ht="11.25" customHeight="1">
      <c r="C19" s="214"/>
      <c r="D19" s="214"/>
      <c r="E19" s="214"/>
    </row>
  </sheetData>
  <sheetProtection/>
  <mergeCells count="8">
    <mergeCell ref="E3:H3"/>
    <mergeCell ref="A5:H5"/>
    <mergeCell ref="A6:H6"/>
    <mergeCell ref="A8:H8"/>
    <mergeCell ref="A10:A11"/>
    <mergeCell ref="B10:B11"/>
    <mergeCell ref="C10:E10"/>
    <mergeCell ref="F10:H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V24"/>
  <sheetViews>
    <sheetView zoomScalePageLayoutView="0" workbookViewId="0" topLeftCell="A1">
      <selection activeCell="A24" sqref="A24:I24"/>
    </sheetView>
  </sheetViews>
  <sheetFormatPr defaultColWidth="9.140625" defaultRowHeight="12.75"/>
  <cols>
    <col min="1" max="1" width="4.7109375" style="218" customWidth="1"/>
    <col min="2" max="2" width="1.57421875" style="218" customWidth="1"/>
    <col min="3" max="3" width="30.57421875" style="218" customWidth="1"/>
    <col min="4" max="4" width="10.140625" style="218" customWidth="1"/>
    <col min="5" max="5" width="10.57421875" style="218" customWidth="1"/>
    <col min="6" max="7" width="11.7109375" style="218" customWidth="1"/>
    <col min="8" max="8" width="10.28125" style="218" bestFit="1" customWidth="1"/>
    <col min="9" max="9" width="12.28125" style="218" customWidth="1"/>
    <col min="10" max="16384" width="9.140625" style="218" customWidth="1"/>
  </cols>
  <sheetData>
    <row r="1" ht="15">
      <c r="F1" s="168"/>
    </row>
    <row r="2" spans="6:9" ht="12.75" customHeight="1">
      <c r="F2" s="216" t="s">
        <v>711</v>
      </c>
      <c r="H2" s="169"/>
      <c r="I2" s="169"/>
    </row>
    <row r="3" spans="2:9" ht="15">
      <c r="B3" s="219"/>
      <c r="F3" s="216" t="s">
        <v>230</v>
      </c>
      <c r="H3" s="165"/>
      <c r="I3" s="215"/>
    </row>
    <row r="4" spans="1:256" ht="15">
      <c r="A4" s="707"/>
      <c r="B4" s="707"/>
      <c r="C4" s="707"/>
      <c r="D4" s="707"/>
      <c r="E4" s="715" t="s">
        <v>68</v>
      </c>
      <c r="F4" s="715"/>
      <c r="G4" s="715"/>
      <c r="H4" s="715"/>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7"/>
      <c r="BK4" s="707"/>
      <c r="BL4" s="707"/>
      <c r="BM4" s="707"/>
      <c r="BN4" s="707"/>
      <c r="BO4" s="707"/>
      <c r="BP4" s="707"/>
      <c r="BQ4" s="707"/>
      <c r="BR4" s="707"/>
      <c r="BS4" s="707"/>
      <c r="BT4" s="707"/>
      <c r="BU4" s="707"/>
      <c r="BV4" s="707"/>
      <c r="BW4" s="707"/>
      <c r="BX4" s="707"/>
      <c r="BY4" s="707"/>
      <c r="BZ4" s="707"/>
      <c r="CA4" s="707"/>
      <c r="CB4" s="707"/>
      <c r="CC4" s="707"/>
      <c r="CD4" s="707"/>
      <c r="CE4" s="707"/>
      <c r="CF4" s="707"/>
      <c r="CG4" s="707"/>
      <c r="CH4" s="707"/>
      <c r="CI4" s="707"/>
      <c r="CJ4" s="707"/>
      <c r="CK4" s="707"/>
      <c r="CL4" s="707"/>
      <c r="CM4" s="707"/>
      <c r="CN4" s="707"/>
      <c r="CO4" s="707"/>
      <c r="CP4" s="707"/>
      <c r="CQ4" s="707"/>
      <c r="CR4" s="707"/>
      <c r="CS4" s="707"/>
      <c r="CT4" s="707"/>
      <c r="CU4" s="707"/>
      <c r="CV4" s="707"/>
      <c r="CW4" s="707"/>
      <c r="CX4" s="707"/>
      <c r="CY4" s="707"/>
      <c r="CZ4" s="707"/>
      <c r="DA4" s="707"/>
      <c r="DB4" s="707"/>
      <c r="DC4" s="707"/>
      <c r="DD4" s="707"/>
      <c r="DE4" s="707"/>
      <c r="DF4" s="707"/>
      <c r="DG4" s="707"/>
      <c r="DH4" s="707"/>
      <c r="DI4" s="707"/>
      <c r="DJ4" s="707"/>
      <c r="DK4" s="707"/>
      <c r="DL4" s="707"/>
      <c r="DM4" s="707"/>
      <c r="DN4" s="707"/>
      <c r="DO4" s="707"/>
      <c r="DP4" s="707"/>
      <c r="DQ4" s="707"/>
      <c r="DR4" s="707"/>
      <c r="DS4" s="707"/>
      <c r="DT4" s="707"/>
      <c r="DU4" s="707"/>
      <c r="DV4" s="707"/>
      <c r="DW4" s="707"/>
      <c r="DX4" s="707"/>
      <c r="DY4" s="707"/>
      <c r="DZ4" s="707"/>
      <c r="EA4" s="707"/>
      <c r="EB4" s="707"/>
      <c r="EC4" s="707"/>
      <c r="ED4" s="707"/>
      <c r="EE4" s="707"/>
      <c r="EF4" s="707"/>
      <c r="EG4" s="707"/>
      <c r="EH4" s="707"/>
      <c r="EI4" s="707"/>
      <c r="EJ4" s="707"/>
      <c r="EK4" s="707"/>
      <c r="EL4" s="707"/>
      <c r="EM4" s="707"/>
      <c r="EN4" s="707"/>
      <c r="EO4" s="707"/>
      <c r="EP4" s="707"/>
      <c r="EQ4" s="707"/>
      <c r="ER4" s="707"/>
      <c r="ES4" s="707"/>
      <c r="ET4" s="707"/>
      <c r="EU4" s="707"/>
      <c r="EV4" s="707"/>
      <c r="EW4" s="707"/>
      <c r="EX4" s="707"/>
      <c r="EY4" s="707"/>
      <c r="EZ4" s="707"/>
      <c r="FA4" s="707"/>
      <c r="FB4" s="707"/>
      <c r="FC4" s="707"/>
      <c r="FD4" s="707"/>
      <c r="FE4" s="707"/>
      <c r="FF4" s="707"/>
      <c r="FG4" s="707"/>
      <c r="FH4" s="707"/>
      <c r="FI4" s="707"/>
      <c r="FJ4" s="707"/>
      <c r="FK4" s="707"/>
      <c r="FL4" s="707"/>
      <c r="FM4" s="707"/>
      <c r="FN4" s="707"/>
      <c r="FO4" s="707"/>
      <c r="FP4" s="707"/>
      <c r="FQ4" s="707"/>
      <c r="FR4" s="707"/>
      <c r="FS4" s="707"/>
      <c r="FT4" s="707"/>
      <c r="FU4" s="707"/>
      <c r="FV4" s="707"/>
      <c r="FW4" s="707"/>
      <c r="FX4" s="707"/>
      <c r="FY4" s="707"/>
      <c r="FZ4" s="707"/>
      <c r="GA4" s="707"/>
      <c r="GB4" s="707"/>
      <c r="GC4" s="707"/>
      <c r="GD4" s="707"/>
      <c r="GE4" s="707"/>
      <c r="GF4" s="707"/>
      <c r="GG4" s="707"/>
      <c r="GH4" s="707"/>
      <c r="GI4" s="707"/>
      <c r="GJ4" s="707"/>
      <c r="GK4" s="707"/>
      <c r="GL4" s="707"/>
      <c r="GM4" s="707"/>
      <c r="GN4" s="707"/>
      <c r="GO4" s="707"/>
      <c r="GP4" s="707"/>
      <c r="GQ4" s="707"/>
      <c r="GR4" s="707"/>
      <c r="GS4" s="707"/>
      <c r="GT4" s="707"/>
      <c r="GU4" s="707"/>
      <c r="GV4" s="707"/>
      <c r="GW4" s="707"/>
      <c r="GX4" s="707"/>
      <c r="GY4" s="707"/>
      <c r="GZ4" s="707"/>
      <c r="HA4" s="707"/>
      <c r="HB4" s="707"/>
      <c r="HC4" s="707"/>
      <c r="HD4" s="707"/>
      <c r="HE4" s="707"/>
      <c r="HF4" s="707"/>
      <c r="HG4" s="707"/>
      <c r="HH4" s="707"/>
      <c r="HI4" s="707"/>
      <c r="HJ4" s="707"/>
      <c r="HK4" s="707"/>
      <c r="HL4" s="707"/>
      <c r="HM4" s="707"/>
      <c r="HN4" s="707"/>
      <c r="HO4" s="707"/>
      <c r="HP4" s="707"/>
      <c r="HQ4" s="707"/>
      <c r="HR4" s="707"/>
      <c r="HS4" s="707"/>
      <c r="HT4" s="707"/>
      <c r="HU4" s="707"/>
      <c r="HV4" s="707"/>
      <c r="HW4" s="707"/>
      <c r="HX4" s="707"/>
      <c r="HY4" s="707"/>
      <c r="HZ4" s="707"/>
      <c r="IA4" s="707"/>
      <c r="IB4" s="707"/>
      <c r="IC4" s="707"/>
      <c r="ID4" s="707"/>
      <c r="IE4" s="707"/>
      <c r="IF4" s="707"/>
      <c r="IG4" s="707"/>
      <c r="IH4" s="707"/>
      <c r="II4" s="707"/>
      <c r="IJ4" s="707"/>
      <c r="IK4" s="707"/>
      <c r="IL4" s="707"/>
      <c r="IM4" s="707"/>
      <c r="IN4" s="707"/>
      <c r="IO4" s="707"/>
      <c r="IP4" s="707"/>
      <c r="IQ4" s="707"/>
      <c r="IR4" s="707"/>
      <c r="IS4" s="707"/>
      <c r="IT4" s="707"/>
      <c r="IU4" s="707"/>
      <c r="IV4" s="707"/>
    </row>
    <row r="5" spans="1:9" s="220" customFormat="1" ht="33.75" customHeight="1">
      <c r="A5" s="655" t="s">
        <v>231</v>
      </c>
      <c r="B5" s="655"/>
      <c r="C5" s="655"/>
      <c r="D5" s="655"/>
      <c r="E5" s="655"/>
      <c r="F5" s="655"/>
      <c r="G5" s="655"/>
      <c r="H5" s="655"/>
      <c r="I5" s="655"/>
    </row>
    <row r="6" spans="1:9" ht="18" customHeight="1">
      <c r="A6" s="656" t="s">
        <v>232</v>
      </c>
      <c r="B6" s="656"/>
      <c r="C6" s="656"/>
      <c r="D6" s="656"/>
      <c r="E6" s="656"/>
      <c r="F6" s="656"/>
      <c r="G6" s="656"/>
      <c r="H6" s="656"/>
      <c r="I6" s="656"/>
    </row>
    <row r="8" spans="1:9" ht="30" customHeight="1">
      <c r="A8" s="710" t="s">
        <v>295</v>
      </c>
      <c r="B8" s="657" t="s">
        <v>707</v>
      </c>
      <c r="C8" s="658"/>
      <c r="D8" s="710" t="s">
        <v>298</v>
      </c>
      <c r="E8" s="710"/>
      <c r="F8" s="710"/>
      <c r="G8" s="710" t="s">
        <v>299</v>
      </c>
      <c r="H8" s="710"/>
      <c r="I8" s="710"/>
    </row>
    <row r="9" spans="1:9" ht="120">
      <c r="A9" s="710"/>
      <c r="B9" s="711"/>
      <c r="C9" s="712"/>
      <c r="D9" s="192" t="s">
        <v>117</v>
      </c>
      <c r="E9" s="192" t="s">
        <v>233</v>
      </c>
      <c r="F9" s="192" t="s">
        <v>234</v>
      </c>
      <c r="G9" s="192" t="s">
        <v>117</v>
      </c>
      <c r="H9" s="192" t="s">
        <v>233</v>
      </c>
      <c r="I9" s="192" t="s">
        <v>234</v>
      </c>
    </row>
    <row r="10" spans="1:9" ht="15">
      <c r="A10" s="192">
        <v>1</v>
      </c>
      <c r="B10" s="662">
        <v>2</v>
      </c>
      <c r="C10" s="663"/>
      <c r="D10" s="192">
        <v>3</v>
      </c>
      <c r="E10" s="192">
        <v>4</v>
      </c>
      <c r="F10" s="192">
        <v>5</v>
      </c>
      <c r="G10" s="192">
        <v>6</v>
      </c>
      <c r="H10" s="192">
        <v>7</v>
      </c>
      <c r="I10" s="192">
        <v>8</v>
      </c>
    </row>
    <row r="11" spans="1:9" ht="29.25" customHeight="1">
      <c r="A11" s="350" t="s">
        <v>509</v>
      </c>
      <c r="B11" s="708" t="s">
        <v>386</v>
      </c>
      <c r="C11" s="709"/>
      <c r="D11" s="448">
        <f>FBA!F73</f>
        <v>0</v>
      </c>
      <c r="E11" s="449"/>
      <c r="F11" s="449"/>
      <c r="G11" s="448">
        <f>FBA!G73</f>
        <v>0</v>
      </c>
      <c r="H11" s="449"/>
      <c r="I11" s="449"/>
    </row>
    <row r="12" spans="1:9" ht="15.75" customHeight="1">
      <c r="A12" s="350" t="s">
        <v>510</v>
      </c>
      <c r="B12" s="708" t="s">
        <v>395</v>
      </c>
      <c r="C12" s="709"/>
      <c r="D12" s="448">
        <f>FBA!F80</f>
        <v>18481.78</v>
      </c>
      <c r="E12" s="449"/>
      <c r="F12" s="449"/>
      <c r="G12" s="448">
        <f>FBA!G80</f>
        <v>50713.82</v>
      </c>
      <c r="H12" s="449"/>
      <c r="I12" s="449"/>
    </row>
    <row r="13" spans="1:9" ht="15.75" customHeight="1">
      <c r="A13" s="350" t="s">
        <v>513</v>
      </c>
      <c r="B13" s="708" t="s">
        <v>398</v>
      </c>
      <c r="C13" s="713"/>
      <c r="D13" s="448">
        <f>IF(D14+D15+D16+D17=FBA!F82,D14+D15+D16+D17,0)</f>
        <v>75832.42</v>
      </c>
      <c r="E13" s="448">
        <f>E14+E15+E16+E17</f>
        <v>17936.24</v>
      </c>
      <c r="F13" s="448">
        <f>F14+F15+F16+F17</f>
        <v>0</v>
      </c>
      <c r="G13" s="448">
        <f>IF(G14+G15+G16+G17=FBA!G82,G14+G15+G16+G17,0)</f>
        <v>73635.25</v>
      </c>
      <c r="H13" s="448">
        <f>H14+H15+H16+H17</f>
        <v>17416.55</v>
      </c>
      <c r="I13" s="448">
        <f>I14+I15+I16+I17</f>
        <v>0</v>
      </c>
    </row>
    <row r="14" spans="1:9" ht="15.75" customHeight="1">
      <c r="A14" s="192" t="s">
        <v>627</v>
      </c>
      <c r="B14" s="206"/>
      <c r="C14" s="221" t="s">
        <v>235</v>
      </c>
      <c r="D14" s="449"/>
      <c r="E14" s="449"/>
      <c r="F14" s="449"/>
      <c r="G14" s="449"/>
      <c r="H14" s="449"/>
      <c r="I14" s="449"/>
    </row>
    <row r="15" spans="1:9" ht="15.75" customHeight="1">
      <c r="A15" s="192" t="s">
        <v>629</v>
      </c>
      <c r="B15" s="206"/>
      <c r="C15" s="221" t="s">
        <v>236</v>
      </c>
      <c r="D15" s="449">
        <f>57896.18+17936.24</f>
        <v>75832.42</v>
      </c>
      <c r="E15" s="449">
        <v>17936.24</v>
      </c>
      <c r="F15" s="449"/>
      <c r="G15" s="449">
        <v>73635.25</v>
      </c>
      <c r="H15" s="449">
        <v>17416.55</v>
      </c>
      <c r="I15" s="449"/>
    </row>
    <row r="16" spans="1:9" ht="15.75" customHeight="1">
      <c r="A16" s="192" t="s">
        <v>631</v>
      </c>
      <c r="B16" s="206"/>
      <c r="C16" s="221" t="s">
        <v>237</v>
      </c>
      <c r="D16" s="449"/>
      <c r="E16" s="449"/>
      <c r="F16" s="449"/>
      <c r="G16" s="449"/>
      <c r="H16" s="449"/>
      <c r="I16" s="449"/>
    </row>
    <row r="17" spans="1:9" ht="15.75" customHeight="1">
      <c r="A17" s="192" t="s">
        <v>719</v>
      </c>
      <c r="B17" s="206"/>
      <c r="C17" s="221" t="s">
        <v>238</v>
      </c>
      <c r="D17" s="449"/>
      <c r="E17" s="449"/>
      <c r="F17" s="449"/>
      <c r="G17" s="449"/>
      <c r="H17" s="449"/>
      <c r="I17" s="449"/>
    </row>
    <row r="18" spans="1:9" ht="15.75" customHeight="1">
      <c r="A18" s="350" t="s">
        <v>515</v>
      </c>
      <c r="B18" s="708" t="s">
        <v>400</v>
      </c>
      <c r="C18" s="709"/>
      <c r="D18" s="448">
        <f aca="true" t="shared" si="0" ref="D18:I18">D19+D20+D21</f>
        <v>0</v>
      </c>
      <c r="E18" s="448">
        <f t="shared" si="0"/>
        <v>0</v>
      </c>
      <c r="F18" s="448">
        <f t="shared" si="0"/>
        <v>0</v>
      </c>
      <c r="G18" s="448">
        <f t="shared" si="0"/>
        <v>0</v>
      </c>
      <c r="H18" s="448">
        <f t="shared" si="0"/>
        <v>0</v>
      </c>
      <c r="I18" s="448">
        <f t="shared" si="0"/>
        <v>0</v>
      </c>
    </row>
    <row r="19" spans="1:9" ht="15.75" customHeight="1">
      <c r="A19" s="192" t="s">
        <v>211</v>
      </c>
      <c r="B19" s="206"/>
      <c r="C19" s="221" t="s">
        <v>239</v>
      </c>
      <c r="D19" s="449"/>
      <c r="E19" s="449"/>
      <c r="F19" s="449"/>
      <c r="G19" s="449"/>
      <c r="H19" s="449"/>
      <c r="I19" s="449"/>
    </row>
    <row r="20" spans="1:9" ht="15.75" customHeight="1">
      <c r="A20" s="192" t="s">
        <v>212</v>
      </c>
      <c r="B20" s="206"/>
      <c r="C20" s="221" t="s">
        <v>240</v>
      </c>
      <c r="D20" s="449"/>
      <c r="E20" s="449"/>
      <c r="F20" s="449"/>
      <c r="G20" s="449"/>
      <c r="H20" s="449"/>
      <c r="I20" s="449"/>
    </row>
    <row r="21" spans="1:9" ht="15.75" customHeight="1">
      <c r="A21" s="192" t="s">
        <v>241</v>
      </c>
      <c r="B21" s="206"/>
      <c r="C21" s="221" t="s">
        <v>242</v>
      </c>
      <c r="D21" s="449"/>
      <c r="E21" s="449"/>
      <c r="F21" s="449"/>
      <c r="G21" s="449"/>
      <c r="H21" s="449"/>
      <c r="I21" s="449"/>
    </row>
    <row r="22" spans="1:9" ht="29.25" customHeight="1">
      <c r="A22" s="350" t="s">
        <v>517</v>
      </c>
      <c r="B22" s="708" t="s">
        <v>243</v>
      </c>
      <c r="C22" s="709"/>
      <c r="D22" s="448">
        <f aca="true" t="shared" si="1" ref="D22:I22">D11+D12+D13+D18</f>
        <v>94314.2</v>
      </c>
      <c r="E22" s="448">
        <f t="shared" si="1"/>
        <v>17936.24</v>
      </c>
      <c r="F22" s="448">
        <f t="shared" si="1"/>
        <v>0</v>
      </c>
      <c r="G22" s="448">
        <f>G11+G12+G13+G18</f>
        <v>124349.07</v>
      </c>
      <c r="H22" s="448">
        <f t="shared" si="1"/>
        <v>17416.55</v>
      </c>
      <c r="I22" s="448">
        <f t="shared" si="1"/>
        <v>0</v>
      </c>
    </row>
    <row r="24" spans="1:9" ht="15">
      <c r="A24" s="714" t="s">
        <v>244</v>
      </c>
      <c r="B24" s="714"/>
      <c r="C24" s="714"/>
      <c r="D24" s="714"/>
      <c r="E24" s="714"/>
      <c r="F24" s="714"/>
      <c r="G24" s="714"/>
      <c r="H24" s="714"/>
      <c r="I24" s="714"/>
    </row>
  </sheetData>
  <sheetProtection/>
  <mergeCells count="77">
    <mergeCell ref="IG4:IJ4"/>
    <mergeCell ref="IK4:IN4"/>
    <mergeCell ref="IO4:IR4"/>
    <mergeCell ref="IS4:IV4"/>
    <mergeCell ref="HQ4:HT4"/>
    <mergeCell ref="HU4:HX4"/>
    <mergeCell ref="HY4:IB4"/>
    <mergeCell ref="IC4:IF4"/>
    <mergeCell ref="HA4:HD4"/>
    <mergeCell ref="HE4:HH4"/>
    <mergeCell ref="HI4:HL4"/>
    <mergeCell ref="HM4:HP4"/>
    <mergeCell ref="GK4:GN4"/>
    <mergeCell ref="GO4:GR4"/>
    <mergeCell ref="GS4:GV4"/>
    <mergeCell ref="GW4:GZ4"/>
    <mergeCell ref="FU4:FX4"/>
    <mergeCell ref="FY4:GB4"/>
    <mergeCell ref="GC4:GF4"/>
    <mergeCell ref="GG4:GJ4"/>
    <mergeCell ref="FE4:FH4"/>
    <mergeCell ref="FI4:FL4"/>
    <mergeCell ref="FM4:FP4"/>
    <mergeCell ref="FQ4:FT4"/>
    <mergeCell ref="EO4:ER4"/>
    <mergeCell ref="ES4:EV4"/>
    <mergeCell ref="EW4:EZ4"/>
    <mergeCell ref="FA4:FD4"/>
    <mergeCell ref="DY4:EB4"/>
    <mergeCell ref="EC4:EF4"/>
    <mergeCell ref="EG4:EJ4"/>
    <mergeCell ref="EK4:EN4"/>
    <mergeCell ref="DI4:DL4"/>
    <mergeCell ref="DM4:DP4"/>
    <mergeCell ref="DQ4:DT4"/>
    <mergeCell ref="DU4:DX4"/>
    <mergeCell ref="CS4:CV4"/>
    <mergeCell ref="CW4:CZ4"/>
    <mergeCell ref="DA4:DD4"/>
    <mergeCell ref="DE4:DH4"/>
    <mergeCell ref="CC4:CF4"/>
    <mergeCell ref="CG4:CJ4"/>
    <mergeCell ref="CK4:CN4"/>
    <mergeCell ref="CO4:CR4"/>
    <mergeCell ref="BM4:BP4"/>
    <mergeCell ref="BQ4:BT4"/>
    <mergeCell ref="BU4:BX4"/>
    <mergeCell ref="BY4:CB4"/>
    <mergeCell ref="AW4:AZ4"/>
    <mergeCell ref="BA4:BD4"/>
    <mergeCell ref="BE4:BH4"/>
    <mergeCell ref="BI4:BL4"/>
    <mergeCell ref="AG4:AJ4"/>
    <mergeCell ref="AK4:AN4"/>
    <mergeCell ref="AO4:AR4"/>
    <mergeCell ref="AS4:AV4"/>
    <mergeCell ref="Q4:T4"/>
    <mergeCell ref="U4:X4"/>
    <mergeCell ref="Y4:AB4"/>
    <mergeCell ref="AC4:AF4"/>
    <mergeCell ref="A4:D4"/>
    <mergeCell ref="E4:H4"/>
    <mergeCell ref="I4:L4"/>
    <mergeCell ref="M4:P4"/>
    <mergeCell ref="B22:C22"/>
    <mergeCell ref="B13:C13"/>
    <mergeCell ref="B18:C18"/>
    <mergeCell ref="A24:I24"/>
    <mergeCell ref="B11:C11"/>
    <mergeCell ref="B12:C12"/>
    <mergeCell ref="B10:C10"/>
    <mergeCell ref="A5:I5"/>
    <mergeCell ref="A6:I6"/>
    <mergeCell ref="A8:A9"/>
    <mergeCell ref="B8:C9"/>
    <mergeCell ref="D8:F8"/>
    <mergeCell ref="G8:I8"/>
  </mergeCells>
  <printOptions/>
  <pageMargins left="0.35433070866141736" right="0.15748031496062992" top="0.5905511811023623" bottom="0.3937007874015748" header="0.5118110236220472" footer="0.5118110236220472"/>
  <pageSetup horizontalDpi="600" verticalDpi="600" orientation="portrait" paperSize="9" scale="97" r:id="rId1"/>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1:E28"/>
  <sheetViews>
    <sheetView zoomScalePageLayoutView="0" workbookViewId="0" topLeftCell="A1">
      <selection activeCell="C33" sqref="C33"/>
    </sheetView>
  </sheetViews>
  <sheetFormatPr defaultColWidth="9.140625" defaultRowHeight="12.75"/>
  <cols>
    <col min="1" max="1" width="5.57421875" style="67" customWidth="1"/>
    <col min="2" max="2" width="1.8515625" style="67" customWidth="1"/>
    <col min="3" max="3" width="52.00390625" style="67" customWidth="1"/>
    <col min="4" max="5" width="15.7109375" style="67" customWidth="1"/>
    <col min="6" max="16384" width="9.140625" style="67" customWidth="1"/>
  </cols>
  <sheetData>
    <row r="1" ht="12.75">
      <c r="E1" s="78"/>
    </row>
    <row r="2" spans="1:5" ht="12.75">
      <c r="A2" s="142"/>
      <c r="B2" s="142"/>
      <c r="C2" s="142"/>
      <c r="D2" s="222"/>
      <c r="E2" s="143" t="s">
        <v>23</v>
      </c>
    </row>
    <row r="3" spans="1:5" ht="12.75">
      <c r="A3" s="142"/>
      <c r="B3" s="142"/>
      <c r="C3" s="223"/>
      <c r="D3" s="224" t="s">
        <v>24</v>
      </c>
      <c r="E3" s="224"/>
    </row>
    <row r="4" spans="1:5" ht="12.75">
      <c r="A4" s="142"/>
      <c r="B4" s="142"/>
      <c r="C4" s="223"/>
      <c r="D4" s="78" t="s">
        <v>290</v>
      </c>
      <c r="E4" s="224"/>
    </row>
    <row r="5" spans="1:5" ht="12.75">
      <c r="A5" s="142"/>
      <c r="B5" s="142"/>
      <c r="C5" s="223"/>
      <c r="D5" s="224"/>
      <c r="E5" s="224"/>
    </row>
    <row r="6" spans="1:5" ht="33" customHeight="1">
      <c r="A6" s="641" t="s">
        <v>25</v>
      </c>
      <c r="B6" s="641"/>
      <c r="C6" s="641"/>
      <c r="D6" s="641"/>
      <c r="E6" s="641"/>
    </row>
    <row r="7" spans="1:5" ht="12.75" customHeight="1">
      <c r="A7" s="159"/>
      <c r="B7" s="159"/>
      <c r="C7" s="159"/>
      <c r="D7" s="159"/>
      <c r="E7" s="159"/>
    </row>
    <row r="8" spans="1:5" ht="15" customHeight="1">
      <c r="A8" s="641" t="s">
        <v>26</v>
      </c>
      <c r="B8" s="641"/>
      <c r="C8" s="641"/>
      <c r="D8" s="641"/>
      <c r="E8" s="641"/>
    </row>
    <row r="9" spans="1:5" ht="12.75">
      <c r="A9" s="142"/>
      <c r="B9" s="142"/>
      <c r="C9" s="142"/>
      <c r="D9" s="142"/>
      <c r="E9" s="142"/>
    </row>
    <row r="10" spans="1:5" ht="38.25" customHeight="1">
      <c r="A10" s="83" t="s">
        <v>295</v>
      </c>
      <c r="B10" s="716" t="s">
        <v>707</v>
      </c>
      <c r="C10" s="716"/>
      <c r="D10" s="83" t="s">
        <v>426</v>
      </c>
      <c r="E10" s="83" t="s">
        <v>427</v>
      </c>
    </row>
    <row r="11" spans="1:5" ht="12.75" customHeight="1">
      <c r="A11" s="225">
        <v>1</v>
      </c>
      <c r="B11" s="719">
        <v>2</v>
      </c>
      <c r="C11" s="719"/>
      <c r="D11" s="225">
        <v>3</v>
      </c>
      <c r="E11" s="225">
        <v>4</v>
      </c>
    </row>
    <row r="12" spans="1:5" ht="15" customHeight="1">
      <c r="A12" s="362" t="s">
        <v>509</v>
      </c>
      <c r="B12" s="720" t="s">
        <v>440</v>
      </c>
      <c r="C12" s="720"/>
      <c r="D12" s="450">
        <f>IF(D13+D14+D15+D16+D17+D18+D19=VRA!H29,D13+D14+D15+D16+D17+D18+D19,0)</f>
        <v>176631.9</v>
      </c>
      <c r="E12" s="450">
        <f>IF(E13+E14+E15+E16+E17+E18+E19=VRA!I29,E13+E14+E15+E16+E17+E18+E19,0)</f>
        <v>148716.23</v>
      </c>
    </row>
    <row r="13" spans="1:5" ht="15" customHeight="1">
      <c r="A13" s="89" t="s">
        <v>708</v>
      </c>
      <c r="B13" s="17"/>
      <c r="C13" s="138" t="s">
        <v>27</v>
      </c>
      <c r="D13" s="425"/>
      <c r="E13" s="451"/>
    </row>
    <row r="14" spans="1:5" ht="15" customHeight="1">
      <c r="A14" s="89" t="s">
        <v>709</v>
      </c>
      <c r="B14" s="17"/>
      <c r="C14" s="138" t="s">
        <v>28</v>
      </c>
      <c r="D14" s="425"/>
      <c r="E14" s="451"/>
    </row>
    <row r="15" spans="1:5" ht="15" customHeight="1">
      <c r="A15" s="89" t="s">
        <v>557</v>
      </c>
      <c r="B15" s="226"/>
      <c r="C15" s="138" t="s">
        <v>29</v>
      </c>
      <c r="D15" s="425"/>
      <c r="E15" s="451"/>
    </row>
    <row r="16" spans="1:5" ht="15" customHeight="1">
      <c r="A16" s="227" t="s">
        <v>713</v>
      </c>
      <c r="B16" s="228"/>
      <c r="C16" s="229" t="s">
        <v>30</v>
      </c>
      <c r="D16" s="425"/>
      <c r="E16" s="451"/>
    </row>
    <row r="17" spans="1:5" ht="15" customHeight="1">
      <c r="A17" s="230" t="s">
        <v>717</v>
      </c>
      <c r="B17" s="228"/>
      <c r="C17" s="138" t="s">
        <v>31</v>
      </c>
      <c r="D17" s="425"/>
      <c r="E17" s="451"/>
    </row>
    <row r="18" spans="1:5" ht="15" customHeight="1">
      <c r="A18" s="230" t="s">
        <v>106</v>
      </c>
      <c r="B18" s="228"/>
      <c r="C18" s="138" t="s">
        <v>32</v>
      </c>
      <c r="D18" s="425">
        <v>132452.3</v>
      </c>
      <c r="E18" s="451">
        <v>106653</v>
      </c>
    </row>
    <row r="19" spans="1:5" ht="15" customHeight="1">
      <c r="A19" s="227" t="s">
        <v>108</v>
      </c>
      <c r="B19" s="228"/>
      <c r="C19" s="138" t="s">
        <v>138</v>
      </c>
      <c r="D19" s="425">
        <v>44179.6</v>
      </c>
      <c r="E19" s="451">
        <v>42063.23</v>
      </c>
    </row>
    <row r="20" spans="1:5" ht="15" customHeight="1">
      <c r="A20" s="362">
        <v>2</v>
      </c>
      <c r="B20" s="721" t="s">
        <v>482</v>
      </c>
      <c r="C20" s="721"/>
      <c r="D20" s="450">
        <f>IF(D21+D22+D23+D24+D25=VRA!H48,D21+D22+D23+D24+D25,0)</f>
        <v>26773</v>
      </c>
      <c r="E20" s="450">
        <f>IF(E21+E22+E23+E24+E25=VRA!I48,E21+E22+E23+E24+E25,0)</f>
        <v>12934</v>
      </c>
    </row>
    <row r="21" spans="1:5" ht="15" customHeight="1">
      <c r="A21" s="89" t="s">
        <v>622</v>
      </c>
      <c r="B21" s="231"/>
      <c r="C21" s="229" t="s">
        <v>33</v>
      </c>
      <c r="D21" s="412"/>
      <c r="E21" s="451"/>
    </row>
    <row r="22" spans="1:5" ht="15" customHeight="1">
      <c r="A22" s="89" t="s">
        <v>624</v>
      </c>
      <c r="B22" s="231"/>
      <c r="C22" s="138" t="s">
        <v>31</v>
      </c>
      <c r="D22" s="412"/>
      <c r="E22" s="451"/>
    </row>
    <row r="23" spans="1:5" ht="15" customHeight="1">
      <c r="A23" s="89" t="s">
        <v>714</v>
      </c>
      <c r="B23" s="226"/>
      <c r="C23" s="232" t="s">
        <v>34</v>
      </c>
      <c r="D23" s="412">
        <v>26773</v>
      </c>
      <c r="E23" s="451">
        <v>12934</v>
      </c>
    </row>
    <row r="24" spans="1:5" ht="15" customHeight="1">
      <c r="A24" s="89" t="s">
        <v>715</v>
      </c>
      <c r="B24" s="226"/>
      <c r="C24" s="232" t="s">
        <v>35</v>
      </c>
      <c r="D24" s="412"/>
      <c r="E24" s="451"/>
    </row>
    <row r="25" spans="1:5" ht="15" customHeight="1">
      <c r="A25" s="89" t="s">
        <v>718</v>
      </c>
      <c r="B25" s="111"/>
      <c r="C25" s="232" t="s">
        <v>138</v>
      </c>
      <c r="D25" s="412"/>
      <c r="E25" s="451"/>
    </row>
    <row r="26" spans="1:5" ht="12.75" customHeight="1">
      <c r="A26" s="95" t="s">
        <v>36</v>
      </c>
      <c r="B26" s="160"/>
      <c r="C26" s="160"/>
      <c r="D26" s="233"/>
      <c r="E26" s="233"/>
    </row>
    <row r="27" spans="1:5" ht="12.75" customHeight="1">
      <c r="A27" s="717" t="s">
        <v>37</v>
      </c>
      <c r="B27" s="717"/>
      <c r="C27" s="717"/>
      <c r="D27" s="717"/>
      <c r="E27" s="717"/>
    </row>
    <row r="28" spans="1:5" ht="12.75">
      <c r="A28" s="718" t="s">
        <v>38</v>
      </c>
      <c r="B28" s="718"/>
      <c r="C28" s="718"/>
      <c r="D28" s="718"/>
      <c r="E28" s="718"/>
    </row>
  </sheetData>
  <sheetProtection/>
  <mergeCells count="8">
    <mergeCell ref="A28:E28"/>
    <mergeCell ref="B11:C11"/>
    <mergeCell ref="B12:C12"/>
    <mergeCell ref="B20:C20"/>
    <mergeCell ref="A6:E6"/>
    <mergeCell ref="A8:E8"/>
    <mergeCell ref="B10:C10"/>
    <mergeCell ref="A27:E27"/>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40"/>
  <sheetViews>
    <sheetView zoomScalePageLayoutView="0" workbookViewId="0" topLeftCell="A1">
      <selection activeCell="L3" sqref="L3"/>
    </sheetView>
  </sheetViews>
  <sheetFormatPr defaultColWidth="9.140625" defaultRowHeight="12.75"/>
  <cols>
    <col min="1" max="1" width="5.57421875" style="95" customWidth="1"/>
    <col min="2" max="2" width="1.1484375" style="95" customWidth="1"/>
    <col min="3" max="3" width="0.9921875" style="95" customWidth="1"/>
    <col min="4" max="4" width="34.421875" style="95" customWidth="1"/>
    <col min="5" max="5" width="9.7109375" style="95" customWidth="1"/>
    <col min="6" max="6" width="6.57421875" style="95" customWidth="1"/>
    <col min="7" max="7" width="10.00390625" style="95" customWidth="1"/>
    <col min="8" max="8" width="7.8515625" style="95" customWidth="1"/>
    <col min="9" max="9" width="8.00390625" style="95" customWidth="1"/>
    <col min="10" max="10" width="10.57421875" style="95" customWidth="1"/>
    <col min="11" max="11" width="8.57421875" style="95" customWidth="1"/>
    <col min="12" max="12" width="11.00390625" style="95" customWidth="1"/>
    <col min="13" max="13" width="10.140625" style="95" customWidth="1"/>
    <col min="14" max="14" width="9.28125" style="95" customWidth="1"/>
    <col min="15" max="15" width="12.421875" style="95" customWidth="1"/>
    <col min="16" max="16384" width="9.140625" style="95" customWidth="1"/>
  </cols>
  <sheetData>
    <row r="1" spans="1:16" ht="11.25" customHeight="1">
      <c r="A1" s="320"/>
      <c r="B1" s="320"/>
      <c r="C1" s="320"/>
      <c r="D1" s="320"/>
      <c r="E1" s="320"/>
      <c r="F1" s="320"/>
      <c r="G1" s="320"/>
      <c r="H1" s="320"/>
      <c r="I1" s="320"/>
      <c r="J1" s="320"/>
      <c r="K1" s="320"/>
      <c r="L1" s="320"/>
      <c r="M1" s="118"/>
      <c r="N1" s="254" t="s">
        <v>247</v>
      </c>
      <c r="O1" s="254"/>
      <c r="P1" s="374"/>
    </row>
    <row r="2" spans="1:16" ht="12.75">
      <c r="A2" s="320"/>
      <c r="B2" s="320"/>
      <c r="C2" s="320"/>
      <c r="D2" s="320"/>
      <c r="E2" s="320"/>
      <c r="F2" s="320"/>
      <c r="G2" s="320"/>
      <c r="H2" s="320"/>
      <c r="I2" s="320"/>
      <c r="J2" s="320"/>
      <c r="K2" s="320"/>
      <c r="L2" s="320"/>
      <c r="N2" s="254" t="s">
        <v>0</v>
      </c>
      <c r="O2" s="254"/>
      <c r="P2" s="374"/>
    </row>
    <row r="3" spans="1:16" ht="12.75">
      <c r="A3" s="320"/>
      <c r="B3" s="320"/>
      <c r="C3" s="320"/>
      <c r="D3" s="320"/>
      <c r="E3" s="320"/>
      <c r="F3" s="320"/>
      <c r="G3" s="320"/>
      <c r="H3" s="320"/>
      <c r="I3" s="320"/>
      <c r="J3" s="320"/>
      <c r="K3" s="320"/>
      <c r="L3" s="78" t="s">
        <v>69</v>
      </c>
      <c r="M3" s="78"/>
      <c r="N3" s="254"/>
      <c r="O3" s="254"/>
      <c r="P3" s="374"/>
    </row>
    <row r="4" spans="1:15" ht="10.5" customHeight="1">
      <c r="A4" s="722" t="s">
        <v>39</v>
      </c>
      <c r="B4" s="722"/>
      <c r="C4" s="722"/>
      <c r="D4" s="722"/>
      <c r="E4" s="722"/>
      <c r="F4" s="722"/>
      <c r="G4" s="722"/>
      <c r="H4" s="722"/>
      <c r="I4" s="722"/>
      <c r="J4" s="722"/>
      <c r="K4" s="722"/>
      <c r="L4" s="722"/>
      <c r="M4" s="722"/>
      <c r="N4" s="722"/>
      <c r="O4" s="722"/>
    </row>
    <row r="5" spans="1:15" ht="12" customHeight="1">
      <c r="A5" s="723" t="s">
        <v>693</v>
      </c>
      <c r="B5" s="723"/>
      <c r="C5" s="723"/>
      <c r="D5" s="723"/>
      <c r="E5" s="723"/>
      <c r="F5" s="723"/>
      <c r="G5" s="723"/>
      <c r="H5" s="723"/>
      <c r="I5" s="723"/>
      <c r="J5" s="723"/>
      <c r="K5" s="723"/>
      <c r="L5" s="723"/>
      <c r="M5" s="723"/>
      <c r="N5" s="723"/>
      <c r="O5" s="723"/>
    </row>
    <row r="6" spans="1:15" ht="4.5" customHeight="1" hidden="1">
      <c r="A6" s="375"/>
      <c r="B6" s="375"/>
      <c r="C6" s="375"/>
      <c r="D6" s="375"/>
      <c r="E6" s="375"/>
      <c r="F6" s="375"/>
      <c r="G6" s="375"/>
      <c r="H6" s="375"/>
      <c r="I6" s="375"/>
      <c r="J6" s="375"/>
      <c r="K6" s="375"/>
      <c r="L6" s="375"/>
      <c r="M6" s="375"/>
      <c r="N6" s="375"/>
      <c r="O6" s="375"/>
    </row>
    <row r="7" spans="1:15" ht="12.75" customHeight="1">
      <c r="A7" s="724" t="s">
        <v>40</v>
      </c>
      <c r="B7" s="642" t="s">
        <v>41</v>
      </c>
      <c r="C7" s="642"/>
      <c r="D7" s="642"/>
      <c r="E7" s="725" t="s">
        <v>42</v>
      </c>
      <c r="F7" s="725"/>
      <c r="G7" s="725"/>
      <c r="H7" s="725"/>
      <c r="I7" s="725"/>
      <c r="J7" s="725"/>
      <c r="K7" s="725"/>
      <c r="L7" s="725"/>
      <c r="M7" s="725"/>
      <c r="N7" s="725"/>
      <c r="O7" s="726" t="s">
        <v>43</v>
      </c>
    </row>
    <row r="8" spans="1:15" ht="50.25" customHeight="1">
      <c r="A8" s="724"/>
      <c r="B8" s="642"/>
      <c r="C8" s="642"/>
      <c r="D8" s="642"/>
      <c r="E8" s="234" t="s">
        <v>44</v>
      </c>
      <c r="F8" s="217" t="s">
        <v>45</v>
      </c>
      <c r="G8" s="83" t="s">
        <v>46</v>
      </c>
      <c r="H8" s="83" t="s">
        <v>47</v>
      </c>
      <c r="I8" s="83" t="s">
        <v>48</v>
      </c>
      <c r="J8" s="83" t="s">
        <v>49</v>
      </c>
      <c r="K8" s="83" t="s">
        <v>50</v>
      </c>
      <c r="L8" s="83" t="s">
        <v>51</v>
      </c>
      <c r="M8" s="217" t="s">
        <v>52</v>
      </c>
      <c r="N8" s="83" t="s">
        <v>53</v>
      </c>
      <c r="O8" s="726"/>
    </row>
    <row r="9" spans="1:15" ht="10.5" customHeight="1">
      <c r="A9" s="86">
        <v>1</v>
      </c>
      <c r="B9" s="728">
        <v>2</v>
      </c>
      <c r="C9" s="728"/>
      <c r="D9" s="728"/>
      <c r="E9" s="86">
        <v>3</v>
      </c>
      <c r="F9" s="86">
        <v>4</v>
      </c>
      <c r="G9" s="86">
        <v>5</v>
      </c>
      <c r="H9" s="86">
        <v>6</v>
      </c>
      <c r="I9" s="86">
        <v>7</v>
      </c>
      <c r="J9" s="86">
        <v>8</v>
      </c>
      <c r="K9" s="86">
        <v>9</v>
      </c>
      <c r="L9" s="86">
        <v>10</v>
      </c>
      <c r="M9" s="86">
        <v>11</v>
      </c>
      <c r="N9" s="86">
        <v>12</v>
      </c>
      <c r="O9" s="367">
        <v>13</v>
      </c>
    </row>
    <row r="10" spans="1:15" ht="12.75">
      <c r="A10" s="368" t="s">
        <v>509</v>
      </c>
      <c r="B10" s="369" t="s">
        <v>443</v>
      </c>
      <c r="C10" s="376"/>
      <c r="D10" s="376"/>
      <c r="E10" s="452">
        <f>SUM(E11:E24)</f>
        <v>0</v>
      </c>
      <c r="F10" s="452">
        <f aca="true" t="shared" si="0" ref="F10:N10">SUM(F11:F24)</f>
        <v>0</v>
      </c>
      <c r="G10" s="452">
        <f t="shared" si="0"/>
        <v>0</v>
      </c>
      <c r="H10" s="452">
        <f t="shared" si="0"/>
        <v>0</v>
      </c>
      <c r="I10" s="452">
        <f t="shared" si="0"/>
        <v>0</v>
      </c>
      <c r="J10" s="452">
        <f t="shared" si="0"/>
        <v>0</v>
      </c>
      <c r="K10" s="452">
        <f t="shared" si="0"/>
        <v>0</v>
      </c>
      <c r="L10" s="452">
        <f t="shared" si="0"/>
        <v>3150077.7600000002</v>
      </c>
      <c r="M10" s="452">
        <f t="shared" si="0"/>
        <v>343018.18</v>
      </c>
      <c r="N10" s="452">
        <f t="shared" si="0"/>
        <v>0</v>
      </c>
      <c r="O10" s="452">
        <f>IF(SUM(E10:N10)=VRA!H31,SUM(E10:N10),0)</f>
        <v>3493095.9400000004</v>
      </c>
    </row>
    <row r="11" spans="1:15" ht="14.25" customHeight="1">
      <c r="A11" s="235" t="s">
        <v>708</v>
      </c>
      <c r="B11" s="120"/>
      <c r="C11" s="236" t="s">
        <v>575</v>
      </c>
      <c r="D11" s="237"/>
      <c r="E11" s="453"/>
      <c r="F11" s="453"/>
      <c r="G11" s="453"/>
      <c r="H11" s="453"/>
      <c r="I11" s="453"/>
      <c r="J11" s="453"/>
      <c r="K11" s="453"/>
      <c r="L11" s="453">
        <f>1971356.19-343018.18</f>
        <v>1628338.01</v>
      </c>
      <c r="M11" s="453">
        <v>343018.18</v>
      </c>
      <c r="N11" s="453"/>
      <c r="O11" s="452">
        <f>IF(SUM(E11:N11)=VRA!H32,SUM(E11:N11),0)</f>
        <v>1971356.19</v>
      </c>
    </row>
    <row r="12" spans="1:15" ht="12.75">
      <c r="A12" s="238" t="s">
        <v>709</v>
      </c>
      <c r="B12" s="239"/>
      <c r="C12" s="240" t="s">
        <v>446</v>
      </c>
      <c r="D12" s="241"/>
      <c r="E12" s="453"/>
      <c r="F12" s="453"/>
      <c r="G12" s="453"/>
      <c r="H12" s="453"/>
      <c r="I12" s="453"/>
      <c r="J12" s="453"/>
      <c r="K12" s="453"/>
      <c r="L12" s="453">
        <v>713773.28</v>
      </c>
      <c r="M12" s="453"/>
      <c r="N12" s="453"/>
      <c r="O12" s="452">
        <f>IF(SUM(E12:N12)=VRA!H33,SUM(E12:N12),0)</f>
        <v>713773.28</v>
      </c>
    </row>
    <row r="13" spans="1:15" ht="12.75">
      <c r="A13" s="242" t="s">
        <v>557</v>
      </c>
      <c r="B13" s="243"/>
      <c r="C13" s="244" t="s">
        <v>576</v>
      </c>
      <c r="D13" s="237"/>
      <c r="E13" s="453"/>
      <c r="F13" s="453"/>
      <c r="G13" s="453"/>
      <c r="H13" s="453"/>
      <c r="I13" s="453"/>
      <c r="J13" s="453"/>
      <c r="K13" s="453"/>
      <c r="L13" s="453">
        <v>354714.7</v>
      </c>
      <c r="M13" s="453"/>
      <c r="N13" s="453"/>
      <c r="O13" s="452">
        <f>IF(SUM(E13:N13)=VRA!H34,SUM(E13:N13),0)</f>
        <v>354714.7</v>
      </c>
    </row>
    <row r="14" spans="1:15" ht="12.75">
      <c r="A14" s="245" t="s">
        <v>713</v>
      </c>
      <c r="B14" s="243"/>
      <c r="C14" s="244" t="s">
        <v>450</v>
      </c>
      <c r="D14" s="246"/>
      <c r="E14" s="453"/>
      <c r="F14" s="453"/>
      <c r="G14" s="453"/>
      <c r="H14" s="453"/>
      <c r="I14" s="453"/>
      <c r="J14" s="453"/>
      <c r="K14" s="453"/>
      <c r="L14" s="453">
        <v>1292.5</v>
      </c>
      <c r="M14" s="453"/>
      <c r="N14" s="453"/>
      <c r="O14" s="452">
        <f>IF(SUM(E14:N14)=VRA!H35,SUM(E14:N14),0)</f>
        <v>1292.5</v>
      </c>
    </row>
    <row r="15" spans="1:15" ht="12.75">
      <c r="A15" s="245" t="s">
        <v>717</v>
      </c>
      <c r="B15" s="243"/>
      <c r="C15" s="244" t="s">
        <v>452</v>
      </c>
      <c r="D15" s="246"/>
      <c r="E15" s="453"/>
      <c r="F15" s="453"/>
      <c r="G15" s="453"/>
      <c r="H15" s="453"/>
      <c r="I15" s="453"/>
      <c r="J15" s="453"/>
      <c r="K15" s="453"/>
      <c r="L15" s="453">
        <v>80212.43</v>
      </c>
      <c r="M15" s="453"/>
      <c r="N15" s="453"/>
      <c r="O15" s="452">
        <f>IF(SUM(E15:N15)=VRA!H36,SUM(E15:N15),0)</f>
        <v>80212.43</v>
      </c>
    </row>
    <row r="16" spans="1:15" ht="12.75">
      <c r="A16" s="245" t="s">
        <v>106</v>
      </c>
      <c r="B16" s="243"/>
      <c r="C16" s="244" t="s">
        <v>455</v>
      </c>
      <c r="D16" s="246"/>
      <c r="E16" s="453"/>
      <c r="F16" s="453"/>
      <c r="G16" s="453"/>
      <c r="H16" s="453"/>
      <c r="I16" s="453"/>
      <c r="J16" s="453"/>
      <c r="K16" s="453"/>
      <c r="L16" s="453">
        <v>2256.21</v>
      </c>
      <c r="M16" s="453"/>
      <c r="N16" s="453"/>
      <c r="O16" s="452">
        <f>IF(SUM(E16:N16)=VRA!H37,SUM(E16:N16),0)</f>
        <v>2256.21</v>
      </c>
    </row>
    <row r="17" spans="1:15" ht="12.75">
      <c r="A17" s="245" t="s">
        <v>108</v>
      </c>
      <c r="B17" s="243"/>
      <c r="C17" s="244" t="s">
        <v>580</v>
      </c>
      <c r="D17" s="246"/>
      <c r="E17" s="453"/>
      <c r="F17" s="453"/>
      <c r="G17" s="453"/>
      <c r="H17" s="453"/>
      <c r="I17" s="453"/>
      <c r="J17" s="453"/>
      <c r="K17" s="453"/>
      <c r="L17" s="453">
        <v>4340</v>
      </c>
      <c r="M17" s="453"/>
      <c r="N17" s="453"/>
      <c r="O17" s="452">
        <f>IF(SUM(E17:N17)=VRA!H38,SUM(E17:N17),0)</f>
        <v>4340</v>
      </c>
    </row>
    <row r="18" spans="1:15" ht="12.75">
      <c r="A18" s="245" t="s">
        <v>110</v>
      </c>
      <c r="B18" s="243"/>
      <c r="C18" s="244" t="s">
        <v>54</v>
      </c>
      <c r="D18" s="377"/>
      <c r="E18" s="453"/>
      <c r="F18" s="453"/>
      <c r="G18" s="453"/>
      <c r="H18" s="453"/>
      <c r="I18" s="453"/>
      <c r="J18" s="453"/>
      <c r="K18" s="453"/>
      <c r="L18" s="453"/>
      <c r="M18" s="453"/>
      <c r="N18" s="453"/>
      <c r="O18" s="452">
        <f>IF(SUM(E18:N18)=VRA!H39,SUM(E18:N18),0)</f>
        <v>0</v>
      </c>
    </row>
    <row r="19" spans="1:15" ht="12.75" customHeight="1">
      <c r="A19" s="247" t="s">
        <v>55</v>
      </c>
      <c r="B19" s="243"/>
      <c r="C19" s="729" t="s">
        <v>56</v>
      </c>
      <c r="D19" s="729"/>
      <c r="E19" s="453"/>
      <c r="F19" s="453"/>
      <c r="G19" s="453"/>
      <c r="H19" s="453"/>
      <c r="I19" s="453"/>
      <c r="J19" s="453"/>
      <c r="K19" s="453"/>
      <c r="L19" s="453">
        <v>145429.31</v>
      </c>
      <c r="M19" s="453"/>
      <c r="N19" s="453"/>
      <c r="O19" s="452">
        <f>IF(SUM(E19:N19)=VRA!H40,SUM(E19:N19),0)</f>
        <v>145429.31</v>
      </c>
    </row>
    <row r="20" spans="1:15" ht="12.75">
      <c r="A20" s="238" t="s">
        <v>57</v>
      </c>
      <c r="B20" s="243"/>
      <c r="C20" s="244" t="s">
        <v>584</v>
      </c>
      <c r="D20" s="248"/>
      <c r="E20" s="453"/>
      <c r="F20" s="453"/>
      <c r="G20" s="453"/>
      <c r="H20" s="453"/>
      <c r="I20" s="453"/>
      <c r="J20" s="453"/>
      <c r="K20" s="453"/>
      <c r="L20" s="453"/>
      <c r="M20" s="453"/>
      <c r="N20" s="453"/>
      <c r="O20" s="452">
        <f>IF(SUM(E20:N20)=VRA!H41,SUM(E20:N20),0)</f>
        <v>0</v>
      </c>
    </row>
    <row r="21" spans="1:15" ht="12.75">
      <c r="A21" s="245" t="s">
        <v>58</v>
      </c>
      <c r="B21" s="243"/>
      <c r="C21" s="244" t="s">
        <v>586</v>
      </c>
      <c r="D21" s="248"/>
      <c r="E21" s="453"/>
      <c r="F21" s="453"/>
      <c r="G21" s="453"/>
      <c r="H21" s="453"/>
      <c r="I21" s="453"/>
      <c r="J21" s="453"/>
      <c r="K21" s="453"/>
      <c r="L21" s="453">
        <v>884.76</v>
      </c>
      <c r="M21" s="453"/>
      <c r="N21" s="453"/>
      <c r="O21" s="452">
        <f>IF(SUM(E21:N21)=VRA!H42,SUM(E21:N21),0)</f>
        <v>884.76</v>
      </c>
    </row>
    <row r="22" spans="1:15" ht="12.75">
      <c r="A22" s="245" t="s">
        <v>59</v>
      </c>
      <c r="B22" s="243"/>
      <c r="C22" s="244" t="s">
        <v>60</v>
      </c>
      <c r="D22" s="248"/>
      <c r="E22" s="453"/>
      <c r="F22" s="453"/>
      <c r="G22" s="453"/>
      <c r="H22" s="453"/>
      <c r="I22" s="453"/>
      <c r="J22" s="453"/>
      <c r="K22" s="453"/>
      <c r="L22" s="453"/>
      <c r="M22" s="453"/>
      <c r="N22" s="453"/>
      <c r="O22" s="452">
        <f>IF(SUM(E22:N22)=VRA!H43,SUM(E22:N22),0)</f>
        <v>0</v>
      </c>
    </row>
    <row r="23" spans="1:15" ht="12.75">
      <c r="A23" s="245" t="s">
        <v>61</v>
      </c>
      <c r="B23" s="243"/>
      <c r="C23" s="244" t="s">
        <v>62</v>
      </c>
      <c r="D23" s="248"/>
      <c r="E23" s="453"/>
      <c r="F23" s="453"/>
      <c r="G23" s="453"/>
      <c r="H23" s="453"/>
      <c r="I23" s="453"/>
      <c r="J23" s="453"/>
      <c r="K23" s="453"/>
      <c r="L23" s="453">
        <v>218818.11</v>
      </c>
      <c r="M23" s="453"/>
      <c r="N23" s="453"/>
      <c r="O23" s="452">
        <f>IF(SUM(E23:N23)=VRA!H44,SUM(E23:N23),0)</f>
        <v>218818.11</v>
      </c>
    </row>
    <row r="24" spans="1:15" ht="12.75">
      <c r="A24" s="245" t="s">
        <v>70</v>
      </c>
      <c r="B24" s="243"/>
      <c r="C24" s="244" t="s">
        <v>477</v>
      </c>
      <c r="D24" s="248"/>
      <c r="E24" s="453"/>
      <c r="F24" s="453"/>
      <c r="G24" s="453"/>
      <c r="H24" s="453"/>
      <c r="I24" s="453"/>
      <c r="J24" s="453"/>
      <c r="K24" s="453"/>
      <c r="L24" s="453">
        <v>18.45</v>
      </c>
      <c r="M24" s="453"/>
      <c r="N24" s="453"/>
      <c r="O24" s="452">
        <f>IF(SUM(E24:N24)=VRA!H45,SUM(E24:N24),0)</f>
        <v>18.45</v>
      </c>
    </row>
    <row r="25" spans="1:15" ht="39.75" customHeight="1">
      <c r="A25" s="249" t="s">
        <v>510</v>
      </c>
      <c r="B25" s="730" t="s">
        <v>489</v>
      </c>
      <c r="C25" s="730"/>
      <c r="D25" s="730"/>
      <c r="E25" s="453"/>
      <c r="F25" s="453"/>
      <c r="G25" s="453"/>
      <c r="H25" s="453"/>
      <c r="I25" s="453"/>
      <c r="J25" s="453"/>
      <c r="K25" s="453"/>
      <c r="L25" s="453"/>
      <c r="M25" s="453"/>
      <c r="N25" s="453"/>
      <c r="O25" s="452">
        <f>IF(SUM(E25:N25)=VRA!H52,SUM(E25:N25),0)</f>
        <v>0</v>
      </c>
    </row>
    <row r="26" spans="1:15" ht="12.75">
      <c r="A26" s="368" t="s">
        <v>513</v>
      </c>
      <c r="B26" s="731" t="s">
        <v>547</v>
      </c>
      <c r="C26" s="731"/>
      <c r="D26" s="731"/>
      <c r="E26" s="452">
        <f>E27</f>
        <v>0</v>
      </c>
      <c r="F26" s="452">
        <f aca="true" t="shared" si="1" ref="F26:N26">F27</f>
        <v>0</v>
      </c>
      <c r="G26" s="452">
        <f t="shared" si="1"/>
        <v>0</v>
      </c>
      <c r="H26" s="452">
        <f t="shared" si="1"/>
        <v>0</v>
      </c>
      <c r="I26" s="452">
        <f t="shared" si="1"/>
        <v>0</v>
      </c>
      <c r="J26" s="452">
        <f t="shared" si="1"/>
        <v>0</v>
      </c>
      <c r="K26" s="452">
        <f t="shared" si="1"/>
        <v>0</v>
      </c>
      <c r="L26" s="452">
        <f t="shared" si="1"/>
        <v>2472853.29</v>
      </c>
      <c r="M26" s="452">
        <f t="shared" si="1"/>
        <v>343018.18</v>
      </c>
      <c r="N26" s="452">
        <f t="shared" si="1"/>
        <v>0</v>
      </c>
      <c r="O26" s="452">
        <f>SUM(E26:N26)</f>
        <v>2815871.47</v>
      </c>
    </row>
    <row r="27" spans="1:15" ht="12.75">
      <c r="A27" s="370" t="s">
        <v>627</v>
      </c>
      <c r="B27" s="371"/>
      <c r="C27" s="372" t="s">
        <v>71</v>
      </c>
      <c r="D27" s="373"/>
      <c r="E27" s="452">
        <f>SUM(E28:E39)</f>
        <v>0</v>
      </c>
      <c r="F27" s="452">
        <f aca="true" t="shared" si="2" ref="F27:N27">SUM(F28:F39)</f>
        <v>0</v>
      </c>
      <c r="G27" s="452">
        <f t="shared" si="2"/>
        <v>0</v>
      </c>
      <c r="H27" s="452">
        <f t="shared" si="2"/>
        <v>0</v>
      </c>
      <c r="I27" s="452">
        <f t="shared" si="2"/>
        <v>0</v>
      </c>
      <c r="J27" s="452">
        <f t="shared" si="2"/>
        <v>0</v>
      </c>
      <c r="K27" s="452">
        <f t="shared" si="2"/>
        <v>0</v>
      </c>
      <c r="L27" s="452">
        <f t="shared" si="2"/>
        <v>2472853.29</v>
      </c>
      <c r="M27" s="452">
        <f t="shared" si="2"/>
        <v>343018.18</v>
      </c>
      <c r="N27" s="452">
        <f t="shared" si="2"/>
        <v>0</v>
      </c>
      <c r="O27" s="452">
        <f>IF(SUM(E27:N27)=PSA!I42,SUM(E27:N27),0)</f>
        <v>2815871.47</v>
      </c>
    </row>
    <row r="28" spans="1:15" ht="12.75">
      <c r="A28" s="111" t="s">
        <v>72</v>
      </c>
      <c r="B28" s="120"/>
      <c r="C28" s="121"/>
      <c r="D28" s="250" t="s">
        <v>575</v>
      </c>
      <c r="E28" s="453"/>
      <c r="F28" s="453"/>
      <c r="G28" s="453"/>
      <c r="H28" s="453"/>
      <c r="I28" s="453"/>
      <c r="J28" s="453"/>
      <c r="K28" s="453"/>
      <c r="L28" s="453">
        <f>1961733.75-343018.18</f>
        <v>1618715.57</v>
      </c>
      <c r="M28" s="453">
        <v>343018.18</v>
      </c>
      <c r="N28" s="453"/>
      <c r="O28" s="452">
        <f>IF(SUM(E28:N28)=PSA!I43,SUM(E28:N28),0)</f>
        <v>1961733.75</v>
      </c>
    </row>
    <row r="29" spans="1:15" ht="12.75">
      <c r="A29" s="251" t="s">
        <v>73</v>
      </c>
      <c r="B29" s="243"/>
      <c r="C29" s="252"/>
      <c r="D29" s="250" t="s">
        <v>576</v>
      </c>
      <c r="E29" s="453"/>
      <c r="F29" s="453"/>
      <c r="G29" s="453"/>
      <c r="H29" s="453"/>
      <c r="I29" s="453"/>
      <c r="J29" s="453"/>
      <c r="K29" s="453"/>
      <c r="L29" s="453">
        <v>386409.25</v>
      </c>
      <c r="M29" s="453"/>
      <c r="N29" s="453"/>
      <c r="O29" s="452">
        <f>IF(SUM(E29:N29)=PSA!I44,SUM(E29:N29),0)</f>
        <v>386409.25</v>
      </c>
    </row>
    <row r="30" spans="1:15" ht="12.75">
      <c r="A30" s="251" t="s">
        <v>74</v>
      </c>
      <c r="B30" s="243"/>
      <c r="C30" s="252"/>
      <c r="D30" s="250" t="s">
        <v>577</v>
      </c>
      <c r="E30" s="453"/>
      <c r="F30" s="453"/>
      <c r="G30" s="453"/>
      <c r="H30" s="453"/>
      <c r="I30" s="453"/>
      <c r="J30" s="453"/>
      <c r="K30" s="453"/>
      <c r="L30" s="453">
        <v>1292.5</v>
      </c>
      <c r="M30" s="453"/>
      <c r="N30" s="453"/>
      <c r="O30" s="452">
        <f>IF(SUM(E30:N30)=PSA!I45,SUM(E30:N30),0)</f>
        <v>1292.5</v>
      </c>
    </row>
    <row r="31" spans="1:15" ht="12.75">
      <c r="A31" s="251" t="s">
        <v>75</v>
      </c>
      <c r="B31" s="243"/>
      <c r="C31" s="252"/>
      <c r="D31" s="250" t="s">
        <v>578</v>
      </c>
      <c r="E31" s="453"/>
      <c r="F31" s="453"/>
      <c r="G31" s="453"/>
      <c r="H31" s="453"/>
      <c r="I31" s="453"/>
      <c r="J31" s="453"/>
      <c r="K31" s="453"/>
      <c r="L31" s="453">
        <v>9307.09</v>
      </c>
      <c r="M31" s="453"/>
      <c r="N31" s="453"/>
      <c r="O31" s="452">
        <f>IF(SUM(E31:N31)=PSA!I46,SUM(E31:N31),0)</f>
        <v>9307.09</v>
      </c>
    </row>
    <row r="32" spans="1:15" ht="12.75">
      <c r="A32" s="251" t="s">
        <v>76</v>
      </c>
      <c r="B32" s="243"/>
      <c r="C32" s="252"/>
      <c r="D32" s="250" t="s">
        <v>579</v>
      </c>
      <c r="E32" s="453"/>
      <c r="F32" s="453"/>
      <c r="G32" s="453"/>
      <c r="H32" s="453"/>
      <c r="I32" s="453"/>
      <c r="J32" s="453"/>
      <c r="K32" s="453"/>
      <c r="L32" s="453">
        <v>2256.21</v>
      </c>
      <c r="M32" s="453"/>
      <c r="N32" s="453"/>
      <c r="O32" s="452">
        <f>IF(SUM(E32:N32)=PSA!I47,SUM(E32:N32),0)</f>
        <v>2256.21</v>
      </c>
    </row>
    <row r="33" spans="1:15" ht="12.75">
      <c r="A33" s="251" t="s">
        <v>77</v>
      </c>
      <c r="B33" s="243"/>
      <c r="C33" s="252"/>
      <c r="D33" s="250" t="s">
        <v>580</v>
      </c>
      <c r="E33" s="453"/>
      <c r="F33" s="453"/>
      <c r="G33" s="453"/>
      <c r="H33" s="453"/>
      <c r="I33" s="453"/>
      <c r="J33" s="453"/>
      <c r="K33" s="453"/>
      <c r="L33" s="453">
        <v>4340</v>
      </c>
      <c r="M33" s="453"/>
      <c r="N33" s="453"/>
      <c r="O33" s="452">
        <f>IF(SUM(E33:N33)=PSA!I48,SUM(E33:N33),0)</f>
        <v>4340</v>
      </c>
    </row>
    <row r="34" spans="1:15" ht="12.75">
      <c r="A34" s="251" t="s">
        <v>78</v>
      </c>
      <c r="B34" s="243"/>
      <c r="C34" s="252"/>
      <c r="D34" s="250" t="s">
        <v>582</v>
      </c>
      <c r="E34" s="453"/>
      <c r="F34" s="453"/>
      <c r="G34" s="453"/>
      <c r="H34" s="453"/>
      <c r="I34" s="453"/>
      <c r="J34" s="453"/>
      <c r="K34" s="453"/>
      <c r="L34" s="453">
        <v>222813.32</v>
      </c>
      <c r="M34" s="453"/>
      <c r="N34" s="453"/>
      <c r="O34" s="452">
        <f>IF(SUM(E34:N34)=PSA!I49,SUM(E34:N34),0)</f>
        <v>222813.32</v>
      </c>
    </row>
    <row r="35" spans="1:15" ht="12.75">
      <c r="A35" s="251" t="s">
        <v>79</v>
      </c>
      <c r="B35" s="243"/>
      <c r="C35" s="252"/>
      <c r="D35" s="250" t="s">
        <v>584</v>
      </c>
      <c r="E35" s="453"/>
      <c r="F35" s="453"/>
      <c r="G35" s="453"/>
      <c r="H35" s="453"/>
      <c r="I35" s="453"/>
      <c r="J35" s="453"/>
      <c r="K35" s="453"/>
      <c r="L35" s="453"/>
      <c r="M35" s="453"/>
      <c r="N35" s="453"/>
      <c r="O35" s="452">
        <f>IF(SUM(E35:N35)=PSA!I50,SUM(E35:N35),0)</f>
        <v>0</v>
      </c>
    </row>
    <row r="36" spans="1:15" ht="12.75">
      <c r="A36" s="251" t="s">
        <v>80</v>
      </c>
      <c r="B36" s="243"/>
      <c r="C36" s="252"/>
      <c r="D36" s="250" t="s">
        <v>586</v>
      </c>
      <c r="E36" s="453"/>
      <c r="F36" s="453"/>
      <c r="G36" s="453"/>
      <c r="H36" s="453"/>
      <c r="I36" s="453"/>
      <c r="J36" s="453"/>
      <c r="K36" s="453"/>
      <c r="L36" s="453">
        <v>884.76</v>
      </c>
      <c r="M36" s="453"/>
      <c r="N36" s="453"/>
      <c r="O36" s="452">
        <f>IF(SUM(E36:N36)=PSA!I51,SUM(E36:N36),0)</f>
        <v>884.76</v>
      </c>
    </row>
    <row r="37" spans="1:15" ht="12.75">
      <c r="A37" s="253" t="s">
        <v>81</v>
      </c>
      <c r="B37" s="243"/>
      <c r="C37" s="252"/>
      <c r="D37" s="250" t="s">
        <v>588</v>
      </c>
      <c r="E37" s="453"/>
      <c r="F37" s="453"/>
      <c r="G37" s="453"/>
      <c r="H37" s="453"/>
      <c r="I37" s="453"/>
      <c r="J37" s="453"/>
      <c r="K37" s="453"/>
      <c r="L37" s="453">
        <f>226834.59-18.45</f>
        <v>226816.13999999998</v>
      </c>
      <c r="M37" s="453"/>
      <c r="N37" s="453"/>
      <c r="O37" s="452">
        <f>IF(SUM(E37:N37)=PSA!I52,SUM(E37:N37),0)</f>
        <v>226816.13999999998</v>
      </c>
    </row>
    <row r="38" spans="1:15" ht="12.75">
      <c r="A38" s="238" t="s">
        <v>82</v>
      </c>
      <c r="B38" s="243"/>
      <c r="C38" s="252"/>
      <c r="D38" s="250" t="s">
        <v>590</v>
      </c>
      <c r="E38" s="453"/>
      <c r="F38" s="453"/>
      <c r="G38" s="453"/>
      <c r="H38" s="453"/>
      <c r="I38" s="453"/>
      <c r="J38" s="453"/>
      <c r="K38" s="453"/>
      <c r="L38" s="453"/>
      <c r="M38" s="453"/>
      <c r="N38" s="453"/>
      <c r="O38" s="452">
        <f>IF(SUM(E38:N38)=PSA!I53,SUM(E38:N38),0)</f>
        <v>0</v>
      </c>
    </row>
    <row r="39" spans="1:15" ht="12.75">
      <c r="A39" s="238" t="s">
        <v>83</v>
      </c>
      <c r="B39" s="243"/>
      <c r="C39" s="252"/>
      <c r="D39" s="250" t="s">
        <v>592</v>
      </c>
      <c r="E39" s="453"/>
      <c r="F39" s="453"/>
      <c r="G39" s="453"/>
      <c r="H39" s="453"/>
      <c r="I39" s="453"/>
      <c r="J39" s="453"/>
      <c r="K39" s="453"/>
      <c r="L39" s="453">
        <v>18.45</v>
      </c>
      <c r="M39" s="453"/>
      <c r="N39" s="453"/>
      <c r="O39" s="452">
        <f>IF(SUM(E39:N39)=PSA!I54,SUM(E39:N39),0)</f>
        <v>18.45</v>
      </c>
    </row>
    <row r="40" spans="1:15" ht="12.75">
      <c r="A40" s="727" t="s">
        <v>710</v>
      </c>
      <c r="B40" s="727"/>
      <c r="C40" s="727"/>
      <c r="D40" s="727"/>
      <c r="E40" s="727"/>
      <c r="F40" s="727"/>
      <c r="G40" s="727"/>
      <c r="H40" s="727"/>
      <c r="I40" s="727"/>
      <c r="J40" s="727"/>
      <c r="K40" s="727"/>
      <c r="L40" s="727"/>
      <c r="M40" s="727"/>
      <c r="N40" s="727"/>
      <c r="O40" s="727"/>
    </row>
  </sheetData>
  <sheetProtection/>
  <mergeCells count="11">
    <mergeCell ref="A40:O40"/>
    <mergeCell ref="B9:D9"/>
    <mergeCell ref="C19:D19"/>
    <mergeCell ref="B25:D25"/>
    <mergeCell ref="B26:D26"/>
    <mergeCell ref="A4:O4"/>
    <mergeCell ref="A5:O5"/>
    <mergeCell ref="A7:A8"/>
    <mergeCell ref="B7:D8"/>
    <mergeCell ref="E7:N7"/>
    <mergeCell ref="O7:O8"/>
  </mergeCells>
  <printOptions/>
  <pageMargins left="0.15748031496062992" right="0.15748031496062992" top="0.3937007874015748" bottom="0.1968503937007874"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24"/>
  <sheetViews>
    <sheetView zoomScalePageLayoutView="0" workbookViewId="0" topLeftCell="B1">
      <selection activeCell="C4" sqref="C4"/>
    </sheetView>
  </sheetViews>
  <sheetFormatPr defaultColWidth="9.140625" defaultRowHeight="12.75"/>
  <cols>
    <col min="1" max="1" width="0" style="163" hidden="1" customWidth="1"/>
    <col min="2" max="2" width="56.421875" style="163" customWidth="1"/>
    <col min="3" max="8" width="6.57421875" style="163" customWidth="1"/>
    <col min="9" max="12" width="0" style="163" hidden="1" customWidth="1"/>
    <col min="13" max="13" width="17.140625" style="163" customWidth="1"/>
    <col min="14" max="16384" width="9.140625" style="163" customWidth="1"/>
  </cols>
  <sheetData>
    <row r="1" spans="2:8" ht="30.75" customHeight="1">
      <c r="B1" s="395"/>
      <c r="C1" s="733" t="s">
        <v>264</v>
      </c>
      <c r="D1" s="733"/>
      <c r="E1" s="733"/>
      <c r="F1" s="733"/>
      <c r="G1" s="733"/>
      <c r="H1" s="733"/>
    </row>
    <row r="2" spans="3:6" ht="15.75">
      <c r="C2" s="163" t="s">
        <v>114</v>
      </c>
      <c r="F2" s="378"/>
    </row>
    <row r="3" spans="3:6" ht="15.75">
      <c r="C3" s="78" t="s">
        <v>290</v>
      </c>
      <c r="F3" s="378"/>
    </row>
    <row r="5" ht="8.25" customHeight="1"/>
    <row r="6" spans="1:8" ht="15.75">
      <c r="A6" s="737" t="s">
        <v>262</v>
      </c>
      <c r="B6" s="737"/>
      <c r="C6" s="737"/>
      <c r="D6" s="737"/>
      <c r="E6" s="737"/>
      <c r="F6" s="737"/>
      <c r="G6" s="737"/>
      <c r="H6" s="737"/>
    </row>
    <row r="7" spans="1:8" ht="18" customHeight="1">
      <c r="A7" s="737" t="s">
        <v>263</v>
      </c>
      <c r="B7" s="737"/>
      <c r="C7" s="737"/>
      <c r="D7" s="737"/>
      <c r="E7" s="737"/>
      <c r="F7" s="737"/>
      <c r="G7" s="737"/>
      <c r="H7" s="737"/>
    </row>
    <row r="8" spans="1:8" ht="15.75" customHeight="1">
      <c r="A8" s="383" t="s">
        <v>258</v>
      </c>
      <c r="B8" s="747" t="s">
        <v>258</v>
      </c>
      <c r="C8" s="747"/>
      <c r="D8" s="747"/>
      <c r="E8" s="747"/>
      <c r="F8" s="747"/>
      <c r="G8" s="747"/>
      <c r="H8" s="747"/>
    </row>
    <row r="9" spans="1:8" ht="42.75" customHeight="1">
      <c r="A9" s="738" t="s">
        <v>265</v>
      </c>
      <c r="B9" s="738"/>
      <c r="C9" s="738"/>
      <c r="D9" s="738"/>
      <c r="E9" s="738"/>
      <c r="F9" s="738"/>
      <c r="G9" s="738"/>
      <c r="H9" s="738"/>
    </row>
    <row r="10" spans="2:8" ht="37.5" customHeight="1">
      <c r="B10" s="737"/>
      <c r="C10" s="737"/>
      <c r="D10" s="737"/>
      <c r="E10" s="737"/>
      <c r="F10" s="737"/>
      <c r="G10" s="737"/>
      <c r="H10" s="737"/>
    </row>
    <row r="11" spans="1:11" ht="17.25" customHeight="1">
      <c r="A11" s="739" t="s">
        <v>295</v>
      </c>
      <c r="B11" s="740" t="s">
        <v>251</v>
      </c>
      <c r="C11" s="741" t="s">
        <v>259</v>
      </c>
      <c r="D11" s="742"/>
      <c r="E11" s="742"/>
      <c r="F11" s="742"/>
      <c r="G11" s="742"/>
      <c r="H11" s="742"/>
      <c r="I11" s="742"/>
      <c r="J11" s="742"/>
      <c r="K11" s="743"/>
    </row>
    <row r="12" spans="1:11" ht="17.25" customHeight="1">
      <c r="A12" s="739" t="s">
        <v>259</v>
      </c>
      <c r="B12" s="740"/>
      <c r="C12" s="744"/>
      <c r="D12" s="745"/>
      <c r="E12" s="745"/>
      <c r="F12" s="745"/>
      <c r="G12" s="745"/>
      <c r="H12" s="745"/>
      <c r="I12" s="745"/>
      <c r="J12" s="745"/>
      <c r="K12" s="746"/>
    </row>
    <row r="13" spans="1:12" ht="12.75" customHeight="1">
      <c r="A13" s="379"/>
      <c r="B13" s="384">
        <v>1</v>
      </c>
      <c r="C13" s="734">
        <v>2</v>
      </c>
      <c r="D13" s="734"/>
      <c r="E13" s="734"/>
      <c r="F13" s="734"/>
      <c r="G13" s="734"/>
      <c r="H13" s="734"/>
      <c r="I13" s="385"/>
      <c r="J13" s="385">
        <v>4</v>
      </c>
      <c r="K13" s="386"/>
      <c r="L13" s="164"/>
    </row>
    <row r="14" spans="1:11" ht="25.5" customHeight="1">
      <c r="A14" s="387">
        <v>1</v>
      </c>
      <c r="B14" s="388" t="s">
        <v>252</v>
      </c>
      <c r="C14" s="735">
        <v>884.76</v>
      </c>
      <c r="D14" s="735"/>
      <c r="E14" s="735"/>
      <c r="F14" s="735"/>
      <c r="G14" s="735"/>
      <c r="H14" s="735"/>
      <c r="I14" s="389"/>
      <c r="J14" s="389"/>
      <c r="K14" s="390"/>
    </row>
    <row r="15" spans="1:11" ht="25.5" customHeight="1">
      <c r="A15" s="387">
        <v>2</v>
      </c>
      <c r="B15" s="388" t="s">
        <v>253</v>
      </c>
      <c r="C15" s="735">
        <v>3539.04</v>
      </c>
      <c r="D15" s="735"/>
      <c r="E15" s="735"/>
      <c r="F15" s="735"/>
      <c r="G15" s="735"/>
      <c r="H15" s="735"/>
      <c r="I15" s="389"/>
      <c r="J15" s="389"/>
      <c r="K15" s="390"/>
    </row>
    <row r="16" spans="1:11" ht="27.75" customHeight="1">
      <c r="A16" s="387">
        <v>3</v>
      </c>
      <c r="B16" s="388" t="s">
        <v>145</v>
      </c>
      <c r="C16" s="735">
        <v>4423.8</v>
      </c>
      <c r="D16" s="735"/>
      <c r="E16" s="735"/>
      <c r="F16" s="735"/>
      <c r="G16" s="735"/>
      <c r="H16" s="735"/>
      <c r="I16" s="389"/>
      <c r="J16" s="389"/>
      <c r="K16" s="390"/>
    </row>
    <row r="17" spans="1:11" ht="15" customHeight="1">
      <c r="A17" s="387">
        <v>4</v>
      </c>
      <c r="B17" s="393" t="s">
        <v>260</v>
      </c>
      <c r="C17" s="732">
        <f>C14+C15+C16</f>
        <v>8847.6</v>
      </c>
      <c r="D17" s="732"/>
      <c r="E17" s="732"/>
      <c r="F17" s="732"/>
      <c r="G17" s="732"/>
      <c r="H17" s="732"/>
      <c r="I17" s="389"/>
      <c r="J17" s="389"/>
      <c r="K17" s="390"/>
    </row>
    <row r="18" spans="1:16" ht="26.25" customHeight="1">
      <c r="A18" s="391">
        <v>5</v>
      </c>
      <c r="B18"/>
      <c r="C18"/>
      <c r="D18"/>
      <c r="E18"/>
      <c r="F18"/>
      <c r="G18"/>
      <c r="H18"/>
      <c r="M18" s="736"/>
      <c r="N18" s="736"/>
      <c r="O18" s="736"/>
      <c r="P18" s="736"/>
    </row>
    <row r="19" spans="1:16" s="380" customFormat="1" ht="21" customHeight="1">
      <c r="A19" s="392">
        <v>6</v>
      </c>
      <c r="B19" s="394" t="s">
        <v>266</v>
      </c>
      <c r="C19"/>
      <c r="D19"/>
      <c r="E19"/>
      <c r="F19"/>
      <c r="G19"/>
      <c r="H19"/>
      <c r="I19"/>
      <c r="M19" s="736"/>
      <c r="N19" s="736"/>
      <c r="O19" s="736"/>
      <c r="P19" s="736"/>
    </row>
    <row r="20" spans="3:16" ht="11.25" customHeight="1">
      <c r="C20" s="381"/>
      <c r="D20" s="381"/>
      <c r="E20" s="381"/>
      <c r="J20" s="380"/>
      <c r="K20" s="380"/>
      <c r="L20" s="380"/>
      <c r="M20" s="736"/>
      <c r="N20" s="736"/>
      <c r="O20" s="736"/>
      <c r="P20" s="736"/>
    </row>
    <row r="21" spans="1:5" ht="23.25" customHeight="1">
      <c r="A21" s="378" t="s">
        <v>261</v>
      </c>
      <c r="C21" s="381"/>
      <c r="D21" s="381"/>
      <c r="E21" s="381"/>
    </row>
    <row r="24" ht="15">
      <c r="O24" s="382"/>
    </row>
  </sheetData>
  <sheetProtection/>
  <mergeCells count="15">
    <mergeCell ref="M18:P20"/>
    <mergeCell ref="A6:H6"/>
    <mergeCell ref="A7:H7"/>
    <mergeCell ref="A9:H9"/>
    <mergeCell ref="B10:H10"/>
    <mergeCell ref="A11:A12"/>
    <mergeCell ref="B11:B12"/>
    <mergeCell ref="C11:K12"/>
    <mergeCell ref="B8:H8"/>
    <mergeCell ref="C16:H16"/>
    <mergeCell ref="C17:H17"/>
    <mergeCell ref="C1:H1"/>
    <mergeCell ref="C13:H13"/>
    <mergeCell ref="C14:H14"/>
    <mergeCell ref="C15:H15"/>
  </mergeCells>
  <printOptions/>
  <pageMargins left="0.35433070866141736" right="0.15748031496062992" top="0.984251968503937" bottom="0.984251968503937"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90"/>
  <sheetViews>
    <sheetView zoomScalePageLayoutView="0" workbookViewId="0" topLeftCell="A52">
      <selection activeCell="F91" sqref="F91"/>
    </sheetView>
  </sheetViews>
  <sheetFormatPr defaultColWidth="9.140625" defaultRowHeight="12.75"/>
  <cols>
    <col min="1" max="1" width="4.7109375" style="157" bestFit="1" customWidth="1"/>
    <col min="2" max="2" width="3.140625" style="458" customWidth="1"/>
    <col min="3" max="3" width="2.7109375" style="458" customWidth="1"/>
    <col min="4" max="4" width="62.421875" style="458" customWidth="1"/>
    <col min="5" max="5" width="12.00390625" style="157" customWidth="1"/>
    <col min="6" max="6" width="14.421875" style="157" bestFit="1" customWidth="1"/>
    <col min="7" max="7" width="13.28125" style="157" customWidth="1"/>
    <col min="8" max="8" width="24.7109375" style="157" bestFit="1" customWidth="1"/>
    <col min="9" max="16384" width="9.140625" style="157" customWidth="1"/>
  </cols>
  <sheetData>
    <row r="1" spans="1:8" ht="12.75">
      <c r="A1" s="455"/>
      <c r="B1" s="456"/>
      <c r="C1" s="456"/>
      <c r="D1" s="457"/>
      <c r="E1" s="774"/>
      <c r="F1" s="774"/>
      <c r="G1" s="774"/>
      <c r="H1" s="774"/>
    </row>
    <row r="2" spans="4:8" ht="12.75" customHeight="1">
      <c r="D2" s="459"/>
      <c r="E2" s="775" t="s">
        <v>267</v>
      </c>
      <c r="F2" s="775"/>
      <c r="G2" s="775"/>
      <c r="H2" s="775"/>
    </row>
    <row r="3" spans="4:8" ht="12.75" customHeight="1">
      <c r="D3" s="459"/>
      <c r="E3" s="460" t="s">
        <v>114</v>
      </c>
      <c r="F3" s="459"/>
      <c r="G3" s="459"/>
      <c r="H3" s="459"/>
    </row>
    <row r="4" ht="7.5" customHeight="1"/>
    <row r="5" spans="1:8" ht="12.75">
      <c r="A5" s="759" t="s">
        <v>268</v>
      </c>
      <c r="B5" s="760"/>
      <c r="C5" s="760"/>
      <c r="D5" s="760"/>
      <c r="E5" s="776"/>
      <c r="F5" s="776"/>
      <c r="G5" s="776"/>
      <c r="H5" s="776"/>
    </row>
    <row r="6" spans="1:8" ht="12.75">
      <c r="A6" s="705"/>
      <c r="B6" s="705"/>
      <c r="C6" s="705"/>
      <c r="D6" s="705"/>
      <c r="E6" s="705"/>
      <c r="F6" s="705"/>
      <c r="G6" s="705"/>
      <c r="H6" s="705"/>
    </row>
    <row r="7" spans="1:4" ht="6" customHeight="1">
      <c r="A7" s="777"/>
      <c r="B7" s="776"/>
      <c r="C7" s="776"/>
      <c r="D7" s="776"/>
    </row>
    <row r="8" spans="1:8" ht="12.75">
      <c r="A8" s="759" t="s">
        <v>269</v>
      </c>
      <c r="B8" s="760"/>
      <c r="C8" s="760"/>
      <c r="D8" s="760"/>
      <c r="E8" s="761"/>
      <c r="F8" s="761"/>
      <c r="G8" s="761"/>
      <c r="H8" s="761"/>
    </row>
    <row r="9" spans="1:8" ht="45.75" customHeight="1">
      <c r="A9" s="762" t="s">
        <v>295</v>
      </c>
      <c r="B9" s="764" t="s">
        <v>296</v>
      </c>
      <c r="C9" s="765"/>
      <c r="D9" s="766"/>
      <c r="E9" s="770" t="s">
        <v>299</v>
      </c>
      <c r="F9" s="772" t="s">
        <v>270</v>
      </c>
      <c r="G9" s="773"/>
      <c r="H9" s="770" t="s">
        <v>271</v>
      </c>
    </row>
    <row r="10" spans="1:8" ht="21.75" customHeight="1">
      <c r="A10" s="763"/>
      <c r="B10" s="767"/>
      <c r="C10" s="768"/>
      <c r="D10" s="769"/>
      <c r="E10" s="771"/>
      <c r="F10" s="461" t="s">
        <v>272</v>
      </c>
      <c r="G10" s="461" t="s">
        <v>273</v>
      </c>
      <c r="H10" s="771"/>
    </row>
    <row r="11" spans="1:8" ht="12.75">
      <c r="A11" s="199">
        <v>1</v>
      </c>
      <c r="B11" s="749">
        <v>2</v>
      </c>
      <c r="C11" s="750"/>
      <c r="D11" s="751"/>
      <c r="E11" s="461">
        <v>3</v>
      </c>
      <c r="F11" s="461">
        <v>4</v>
      </c>
      <c r="G11" s="461">
        <v>5</v>
      </c>
      <c r="H11" s="461" t="s">
        <v>274</v>
      </c>
    </row>
    <row r="12" spans="1:8" s="458" customFormat="1" ht="12.75" customHeight="1">
      <c r="A12" s="361" t="s">
        <v>300</v>
      </c>
      <c r="B12" s="528" t="s">
        <v>301</v>
      </c>
      <c r="C12" s="529"/>
      <c r="D12" s="527"/>
      <c r="E12" s="361">
        <f>E13+E19+E30+E31</f>
        <v>39316536.54000001</v>
      </c>
      <c r="F12" s="361">
        <f>F13+F19+F30+F31</f>
        <v>0</v>
      </c>
      <c r="G12" s="361">
        <f>G13+G19+G30+G31</f>
        <v>0</v>
      </c>
      <c r="H12" s="361">
        <f>H13+H19+H30+H31</f>
        <v>39316536.54000001</v>
      </c>
    </row>
    <row r="13" spans="1:8" s="458" customFormat="1" ht="12.75" customHeight="1">
      <c r="A13" s="351" t="s">
        <v>302</v>
      </c>
      <c r="B13" s="530" t="s">
        <v>303</v>
      </c>
      <c r="C13" s="531"/>
      <c r="D13" s="532"/>
      <c r="E13" s="351">
        <f>SUM(E14:E18)</f>
        <v>8850</v>
      </c>
      <c r="F13" s="351">
        <f>SUM(F14:F18)</f>
        <v>0</v>
      </c>
      <c r="G13" s="351">
        <f>SUM(G14:G18)</f>
        <v>0</v>
      </c>
      <c r="H13" s="351">
        <f>SUM(H14:H18)</f>
        <v>8850</v>
      </c>
    </row>
    <row r="14" spans="1:8" s="458" customFormat="1" ht="12.75" customHeight="1">
      <c r="A14" s="466" t="s">
        <v>304</v>
      </c>
      <c r="B14" s="467"/>
      <c r="C14" s="468" t="s">
        <v>305</v>
      </c>
      <c r="D14" s="469"/>
      <c r="E14" s="546">
        <f>FBA!G22</f>
        <v>8850</v>
      </c>
      <c r="F14" s="465"/>
      <c r="G14" s="465"/>
      <c r="H14" s="351">
        <f>E14+F14+G14</f>
        <v>8850</v>
      </c>
    </row>
    <row r="15" spans="1:8" s="458" customFormat="1" ht="12.75" customHeight="1">
      <c r="A15" s="466" t="s">
        <v>306</v>
      </c>
      <c r="B15" s="467"/>
      <c r="C15" s="468" t="s">
        <v>307</v>
      </c>
      <c r="D15" s="470"/>
      <c r="E15" s="546">
        <f>FBA!G23</f>
        <v>0</v>
      </c>
      <c r="F15" s="465"/>
      <c r="G15" s="465"/>
      <c r="H15" s="351">
        <f>E15+F15+G15</f>
        <v>0</v>
      </c>
    </row>
    <row r="16" spans="1:8" s="458" customFormat="1" ht="12.75" customHeight="1">
      <c r="A16" s="466" t="s">
        <v>308</v>
      </c>
      <c r="B16" s="467"/>
      <c r="C16" s="468" t="s">
        <v>309</v>
      </c>
      <c r="D16" s="470"/>
      <c r="E16" s="546">
        <f>FBA!G24</f>
        <v>0</v>
      </c>
      <c r="F16" s="465"/>
      <c r="G16" s="465"/>
      <c r="H16" s="351">
        <f>E16+F16+G16</f>
        <v>0</v>
      </c>
    </row>
    <row r="17" spans="1:8" s="458" customFormat="1" ht="12.75" customHeight="1">
      <c r="A17" s="466" t="s">
        <v>310</v>
      </c>
      <c r="B17" s="467"/>
      <c r="C17" s="468" t="s">
        <v>311</v>
      </c>
      <c r="D17" s="470"/>
      <c r="E17" s="546">
        <f>FBA!G25</f>
        <v>0</v>
      </c>
      <c r="F17" s="465"/>
      <c r="G17" s="465"/>
      <c r="H17" s="351">
        <f>E17+F17+G17</f>
        <v>0</v>
      </c>
    </row>
    <row r="18" spans="1:8" s="458" customFormat="1" ht="12.75" customHeight="1">
      <c r="A18" s="471" t="s">
        <v>312</v>
      </c>
      <c r="B18" s="467"/>
      <c r="C18" s="472" t="s">
        <v>313</v>
      </c>
      <c r="D18" s="469"/>
      <c r="E18" s="546">
        <f>FBA!G26</f>
        <v>0</v>
      </c>
      <c r="F18" s="465"/>
      <c r="G18" s="465"/>
      <c r="H18" s="351">
        <f>E18+F18+G18</f>
        <v>0</v>
      </c>
    </row>
    <row r="19" spans="1:8" s="458" customFormat="1" ht="12.75" customHeight="1">
      <c r="A19" s="534" t="s">
        <v>314</v>
      </c>
      <c r="B19" s="535" t="s">
        <v>315</v>
      </c>
      <c r="C19" s="536"/>
      <c r="D19" s="537"/>
      <c r="E19" s="351">
        <f>SUM(E20:E29)</f>
        <v>39307686.54000001</v>
      </c>
      <c r="F19" s="351">
        <f>SUM(F20:F29)</f>
        <v>0</v>
      </c>
      <c r="G19" s="351">
        <f>SUM(G20:G29)</f>
        <v>0</v>
      </c>
      <c r="H19" s="351">
        <f>SUM(H20:H29)</f>
        <v>39307686.54000001</v>
      </c>
    </row>
    <row r="20" spans="1:8" s="458" customFormat="1" ht="12.75" customHeight="1">
      <c r="A20" s="466" t="s">
        <v>316</v>
      </c>
      <c r="B20" s="467"/>
      <c r="C20" s="468" t="s">
        <v>317</v>
      </c>
      <c r="D20" s="470"/>
      <c r="E20" s="546">
        <f>FBA!G28</f>
        <v>0</v>
      </c>
      <c r="F20" s="465"/>
      <c r="G20" s="465"/>
      <c r="H20" s="351">
        <f aca="true" t="shared" si="0" ref="H20:H32">E20+F20+G20</f>
        <v>0</v>
      </c>
    </row>
    <row r="21" spans="1:8" s="458" customFormat="1" ht="12.75" customHeight="1">
      <c r="A21" s="466" t="s">
        <v>318</v>
      </c>
      <c r="B21" s="467"/>
      <c r="C21" s="468" t="s">
        <v>319</v>
      </c>
      <c r="D21" s="470"/>
      <c r="E21" s="546">
        <f>FBA!G29</f>
        <v>37550381.35</v>
      </c>
      <c r="F21" s="465"/>
      <c r="G21" s="465"/>
      <c r="H21" s="351">
        <f t="shared" si="0"/>
        <v>37550381.35</v>
      </c>
    </row>
    <row r="22" spans="1:8" s="458" customFormat="1" ht="12.75" customHeight="1">
      <c r="A22" s="466" t="s">
        <v>320</v>
      </c>
      <c r="B22" s="467"/>
      <c r="C22" s="468" t="s">
        <v>321</v>
      </c>
      <c r="D22" s="470"/>
      <c r="E22" s="546">
        <f>FBA!G30</f>
        <v>1094893.59</v>
      </c>
      <c r="F22" s="465"/>
      <c r="G22" s="465"/>
      <c r="H22" s="351">
        <f t="shared" si="0"/>
        <v>1094893.59</v>
      </c>
    </row>
    <row r="23" spans="1:8" s="458" customFormat="1" ht="12.75" customHeight="1">
      <c r="A23" s="466" t="s">
        <v>322</v>
      </c>
      <c r="B23" s="467"/>
      <c r="C23" s="468" t="s">
        <v>323</v>
      </c>
      <c r="D23" s="470"/>
      <c r="E23" s="546">
        <f>FBA!G31</f>
        <v>0</v>
      </c>
      <c r="F23" s="465"/>
      <c r="G23" s="465"/>
      <c r="H23" s="351">
        <f t="shared" si="0"/>
        <v>0</v>
      </c>
    </row>
    <row r="24" spans="1:8" s="458" customFormat="1" ht="12.75" customHeight="1">
      <c r="A24" s="466" t="s">
        <v>324</v>
      </c>
      <c r="B24" s="467"/>
      <c r="C24" s="468" t="s">
        <v>325</v>
      </c>
      <c r="D24" s="470"/>
      <c r="E24" s="546">
        <f>FBA!G32</f>
        <v>325522.5</v>
      </c>
      <c r="F24" s="465"/>
      <c r="G24" s="465"/>
      <c r="H24" s="351">
        <f t="shared" si="0"/>
        <v>325522.5</v>
      </c>
    </row>
    <row r="25" spans="1:8" s="458" customFormat="1" ht="12.75" customHeight="1">
      <c r="A25" s="466" t="s">
        <v>326</v>
      </c>
      <c r="B25" s="467"/>
      <c r="C25" s="468" t="s">
        <v>327</v>
      </c>
      <c r="D25" s="470"/>
      <c r="E25" s="546">
        <f>FBA!G33</f>
        <v>64174.98</v>
      </c>
      <c r="F25" s="465"/>
      <c r="G25" s="465"/>
      <c r="H25" s="351">
        <f t="shared" si="0"/>
        <v>64174.98</v>
      </c>
    </row>
    <row r="26" spans="1:8" s="458" customFormat="1" ht="12.75" customHeight="1">
      <c r="A26" s="466" t="s">
        <v>328</v>
      </c>
      <c r="B26" s="467"/>
      <c r="C26" s="468" t="s">
        <v>329</v>
      </c>
      <c r="D26" s="470"/>
      <c r="E26" s="546">
        <f>FBA!G34</f>
        <v>0</v>
      </c>
      <c r="F26" s="465"/>
      <c r="G26" s="465"/>
      <c r="H26" s="351">
        <f t="shared" si="0"/>
        <v>0</v>
      </c>
    </row>
    <row r="27" spans="1:8" s="458" customFormat="1" ht="12.75" customHeight="1">
      <c r="A27" s="466" t="s">
        <v>330</v>
      </c>
      <c r="B27" s="467"/>
      <c r="C27" s="468" t="s">
        <v>331</v>
      </c>
      <c r="D27" s="470"/>
      <c r="E27" s="546">
        <f>FBA!G35</f>
        <v>21566.45</v>
      </c>
      <c r="F27" s="465"/>
      <c r="G27" s="465"/>
      <c r="H27" s="351">
        <f t="shared" si="0"/>
        <v>21566.45</v>
      </c>
    </row>
    <row r="28" spans="1:8" s="458" customFormat="1" ht="12.75" customHeight="1">
      <c r="A28" s="466" t="s">
        <v>332</v>
      </c>
      <c r="B28" s="477"/>
      <c r="C28" s="478" t="s">
        <v>333</v>
      </c>
      <c r="D28" s="479"/>
      <c r="E28" s="546">
        <f>FBA!G36</f>
        <v>251147.67</v>
      </c>
      <c r="F28" s="465"/>
      <c r="G28" s="465"/>
      <c r="H28" s="351">
        <f t="shared" si="0"/>
        <v>251147.67</v>
      </c>
    </row>
    <row r="29" spans="1:8" s="458" customFormat="1" ht="12.75" customHeight="1">
      <c r="A29" s="466" t="s">
        <v>334</v>
      </c>
      <c r="B29" s="467"/>
      <c r="C29" s="468" t="s">
        <v>335</v>
      </c>
      <c r="D29" s="470"/>
      <c r="E29" s="546">
        <f>FBA!G37</f>
        <v>0</v>
      </c>
      <c r="F29" s="465"/>
      <c r="G29" s="465"/>
      <c r="H29" s="351">
        <f t="shared" si="0"/>
        <v>0</v>
      </c>
    </row>
    <row r="30" spans="1:8" s="458" customFormat="1" ht="12.75" customHeight="1">
      <c r="A30" s="465" t="s">
        <v>336</v>
      </c>
      <c r="B30" s="480" t="s">
        <v>337</v>
      </c>
      <c r="C30" s="480"/>
      <c r="D30" s="481"/>
      <c r="E30" s="546">
        <f>FBA!G38</f>
        <v>0</v>
      </c>
      <c r="F30" s="465"/>
      <c r="G30" s="465"/>
      <c r="H30" s="351">
        <f t="shared" si="0"/>
        <v>0</v>
      </c>
    </row>
    <row r="31" spans="1:8" s="458" customFormat="1" ht="12.75" customHeight="1">
      <c r="A31" s="465" t="s">
        <v>338</v>
      </c>
      <c r="B31" s="482" t="s">
        <v>339</v>
      </c>
      <c r="C31" s="482"/>
      <c r="D31" s="483"/>
      <c r="E31" s="546">
        <f>FBA!G39</f>
        <v>0</v>
      </c>
      <c r="F31" s="465"/>
      <c r="G31" s="465"/>
      <c r="H31" s="351">
        <f t="shared" si="0"/>
        <v>0</v>
      </c>
    </row>
    <row r="32" spans="1:8" s="458" customFormat="1" ht="12.75" customHeight="1">
      <c r="A32" s="461" t="s">
        <v>340</v>
      </c>
      <c r="B32" s="462" t="s">
        <v>341</v>
      </c>
      <c r="C32" s="463"/>
      <c r="D32" s="464"/>
      <c r="E32" s="546">
        <f>FBA!G40</f>
        <v>0</v>
      </c>
      <c r="F32" s="465"/>
      <c r="G32" s="465"/>
      <c r="H32" s="351">
        <f t="shared" si="0"/>
        <v>0</v>
      </c>
    </row>
    <row r="33" spans="1:8" s="458" customFormat="1" ht="12.75" customHeight="1">
      <c r="A33" s="361" t="s">
        <v>342</v>
      </c>
      <c r="B33" s="528" t="s">
        <v>343</v>
      </c>
      <c r="C33" s="529"/>
      <c r="D33" s="527"/>
      <c r="E33" s="361">
        <f>E34+E41+E48+E49</f>
        <v>215416.36</v>
      </c>
      <c r="F33" s="361">
        <f>F34+F41+F48+F49</f>
        <v>0</v>
      </c>
      <c r="G33" s="361">
        <f>G34+G41+G48+G49</f>
        <v>0</v>
      </c>
      <c r="H33" s="361">
        <f>H34+H41+H48+H49</f>
        <v>215416.36</v>
      </c>
    </row>
    <row r="34" spans="1:8" s="458" customFormat="1" ht="12.75" customHeight="1">
      <c r="A34" s="351" t="s">
        <v>302</v>
      </c>
      <c r="B34" s="530" t="s">
        <v>344</v>
      </c>
      <c r="C34" s="538"/>
      <c r="D34" s="539"/>
      <c r="E34" s="351">
        <f>SUM(E35:E39)</f>
        <v>27200.52</v>
      </c>
      <c r="F34" s="351">
        <f>SUM(F35:F39)</f>
        <v>0</v>
      </c>
      <c r="G34" s="351">
        <f>SUM(G35:G39)</f>
        <v>0</v>
      </c>
      <c r="H34" s="351">
        <f>SUM(H35:H39)</f>
        <v>27200.52</v>
      </c>
    </row>
    <row r="35" spans="1:8" s="458" customFormat="1" ht="12.75" customHeight="1">
      <c r="A35" s="201" t="s">
        <v>304</v>
      </c>
      <c r="B35" s="477"/>
      <c r="C35" s="478" t="s">
        <v>345</v>
      </c>
      <c r="D35" s="479"/>
      <c r="E35" s="546">
        <f>FBA!G43</f>
        <v>0</v>
      </c>
      <c r="F35" s="465"/>
      <c r="G35" s="465"/>
      <c r="H35" s="351">
        <f aca="true" t="shared" si="1" ref="H35:H40">E35+F35+G35</f>
        <v>0</v>
      </c>
    </row>
    <row r="36" spans="1:8" s="458" customFormat="1" ht="12.75" customHeight="1">
      <c r="A36" s="201" t="s">
        <v>306</v>
      </c>
      <c r="B36" s="477"/>
      <c r="C36" s="478" t="s">
        <v>346</v>
      </c>
      <c r="D36" s="479"/>
      <c r="E36" s="546">
        <f>FBA!G44</f>
        <v>27200.52</v>
      </c>
      <c r="F36" s="465"/>
      <c r="G36" s="465"/>
      <c r="H36" s="351">
        <f t="shared" si="1"/>
        <v>27200.52</v>
      </c>
    </row>
    <row r="37" spans="1:8" s="458" customFormat="1" ht="12.75">
      <c r="A37" s="201" t="s">
        <v>308</v>
      </c>
      <c r="B37" s="477"/>
      <c r="C37" s="478" t="s">
        <v>347</v>
      </c>
      <c r="D37" s="479"/>
      <c r="E37" s="546">
        <f>FBA!G45</f>
        <v>0</v>
      </c>
      <c r="F37" s="465"/>
      <c r="G37" s="465"/>
      <c r="H37" s="351">
        <f t="shared" si="1"/>
        <v>0</v>
      </c>
    </row>
    <row r="38" spans="1:8" s="458" customFormat="1" ht="12.75">
      <c r="A38" s="201" t="s">
        <v>310</v>
      </c>
      <c r="B38" s="477"/>
      <c r="C38" s="478" t="s">
        <v>348</v>
      </c>
      <c r="D38" s="479"/>
      <c r="E38" s="546">
        <f>FBA!G46</f>
        <v>0</v>
      </c>
      <c r="F38" s="465"/>
      <c r="G38" s="465"/>
      <c r="H38" s="351">
        <f t="shared" si="1"/>
        <v>0</v>
      </c>
    </row>
    <row r="39" spans="1:8" s="458" customFormat="1" ht="12.75" customHeight="1">
      <c r="A39" s="201" t="s">
        <v>312</v>
      </c>
      <c r="B39" s="484"/>
      <c r="C39" s="752" t="s">
        <v>349</v>
      </c>
      <c r="D39" s="753"/>
      <c r="E39" s="546">
        <f>FBA!G47</f>
        <v>0</v>
      </c>
      <c r="F39" s="465"/>
      <c r="G39" s="465"/>
      <c r="H39" s="351">
        <f t="shared" si="1"/>
        <v>0</v>
      </c>
    </row>
    <row r="40" spans="1:8" s="458" customFormat="1" ht="12.75" customHeight="1">
      <c r="A40" s="200" t="s">
        <v>314</v>
      </c>
      <c r="B40" s="486" t="s">
        <v>350</v>
      </c>
      <c r="C40" s="487"/>
      <c r="D40" s="488"/>
      <c r="E40" s="546">
        <f>FBA!G48</f>
        <v>3194.58</v>
      </c>
      <c r="F40" s="465"/>
      <c r="G40" s="465"/>
      <c r="H40" s="351">
        <f t="shared" si="1"/>
        <v>3194.58</v>
      </c>
    </row>
    <row r="41" spans="1:8" s="458" customFormat="1" ht="12.75" customHeight="1">
      <c r="A41" s="351" t="s">
        <v>336</v>
      </c>
      <c r="B41" s="530" t="s">
        <v>351</v>
      </c>
      <c r="C41" s="538"/>
      <c r="D41" s="539"/>
      <c r="E41" s="351">
        <f>SUM(E42:E47)</f>
        <v>172553.08</v>
      </c>
      <c r="F41" s="351">
        <f>SUM(F42:F47)</f>
        <v>0</v>
      </c>
      <c r="G41" s="351">
        <f>SUM(G42:G47)</f>
        <v>0</v>
      </c>
      <c r="H41" s="351">
        <f>SUM(H42:H47)</f>
        <v>172553.08</v>
      </c>
    </row>
    <row r="42" spans="1:8" s="458" customFormat="1" ht="12.75" customHeight="1">
      <c r="A42" s="201" t="s">
        <v>352</v>
      </c>
      <c r="B42" s="485"/>
      <c r="C42" s="489" t="s">
        <v>353</v>
      </c>
      <c r="D42" s="490"/>
      <c r="E42" s="546">
        <f>FBA!G50</f>
        <v>0</v>
      </c>
      <c r="F42" s="465"/>
      <c r="G42" s="465"/>
      <c r="H42" s="351">
        <f aca="true" t="shared" si="2" ref="H42:H49">E42+F42+G42</f>
        <v>0</v>
      </c>
    </row>
    <row r="43" spans="1:8" s="458" customFormat="1" ht="12.75" customHeight="1">
      <c r="A43" s="491" t="s">
        <v>354</v>
      </c>
      <c r="B43" s="477"/>
      <c r="C43" s="478" t="s">
        <v>355</v>
      </c>
      <c r="D43" s="492"/>
      <c r="E43" s="546">
        <f>FBA!G51</f>
        <v>0</v>
      </c>
      <c r="F43" s="533"/>
      <c r="G43" s="533"/>
      <c r="H43" s="351">
        <f t="shared" si="2"/>
        <v>0</v>
      </c>
    </row>
    <row r="44" spans="1:8" s="458" customFormat="1" ht="12.75" customHeight="1">
      <c r="A44" s="201" t="s">
        <v>356</v>
      </c>
      <c r="B44" s="477"/>
      <c r="C44" s="478" t="s">
        <v>357</v>
      </c>
      <c r="D44" s="479"/>
      <c r="E44" s="546">
        <f>FBA!G52</f>
        <v>0</v>
      </c>
      <c r="F44" s="465"/>
      <c r="G44" s="465"/>
      <c r="H44" s="351">
        <f t="shared" si="2"/>
        <v>0</v>
      </c>
    </row>
    <row r="45" spans="1:8" s="458" customFormat="1" ht="12.75" customHeight="1">
      <c r="A45" s="201" t="s">
        <v>358</v>
      </c>
      <c r="B45" s="477"/>
      <c r="C45" s="752" t="s">
        <v>359</v>
      </c>
      <c r="D45" s="753"/>
      <c r="E45" s="546">
        <f>FBA!G53</f>
        <v>3037</v>
      </c>
      <c r="F45" s="465"/>
      <c r="G45" s="465"/>
      <c r="H45" s="351">
        <f t="shared" si="2"/>
        <v>3037</v>
      </c>
    </row>
    <row r="46" spans="1:8" s="458" customFormat="1" ht="12.75" customHeight="1">
      <c r="A46" s="201" t="s">
        <v>360</v>
      </c>
      <c r="B46" s="477"/>
      <c r="C46" s="478" t="s">
        <v>361</v>
      </c>
      <c r="D46" s="479"/>
      <c r="E46" s="546">
        <f>FBA!G54</f>
        <v>169516.08</v>
      </c>
      <c r="F46" s="465"/>
      <c r="G46" s="465"/>
      <c r="H46" s="351">
        <f t="shared" si="2"/>
        <v>169516.08</v>
      </c>
    </row>
    <row r="47" spans="1:8" s="458" customFormat="1" ht="12.75" customHeight="1">
      <c r="A47" s="201" t="s">
        <v>362</v>
      </c>
      <c r="B47" s="477"/>
      <c r="C47" s="478" t="s">
        <v>363</v>
      </c>
      <c r="D47" s="479"/>
      <c r="E47" s="546">
        <f>FBA!G55</f>
        <v>0</v>
      </c>
      <c r="F47" s="465"/>
      <c r="G47" s="465"/>
      <c r="H47" s="351">
        <f t="shared" si="2"/>
        <v>0</v>
      </c>
    </row>
    <row r="48" spans="1:8" s="458" customFormat="1" ht="12.75" customHeight="1">
      <c r="A48" s="200" t="s">
        <v>338</v>
      </c>
      <c r="B48" s="482" t="s">
        <v>364</v>
      </c>
      <c r="C48" s="482"/>
      <c r="D48" s="483"/>
      <c r="E48" s="546">
        <f>FBA!G56</f>
        <v>0</v>
      </c>
      <c r="F48" s="465"/>
      <c r="G48" s="465"/>
      <c r="H48" s="351">
        <f t="shared" si="2"/>
        <v>0</v>
      </c>
    </row>
    <row r="49" spans="1:8" s="458" customFormat="1" ht="12.75" customHeight="1">
      <c r="A49" s="200" t="s">
        <v>365</v>
      </c>
      <c r="B49" s="482" t="s">
        <v>366</v>
      </c>
      <c r="C49" s="482"/>
      <c r="D49" s="483"/>
      <c r="E49" s="546">
        <f>FBA!G57</f>
        <v>15662.76</v>
      </c>
      <c r="F49" s="465"/>
      <c r="G49" s="465"/>
      <c r="H49" s="351">
        <f t="shared" si="2"/>
        <v>15662.76</v>
      </c>
    </row>
    <row r="50" spans="1:8" s="458" customFormat="1" ht="12.75" customHeight="1">
      <c r="A50" s="351"/>
      <c r="B50" s="535" t="s">
        <v>367</v>
      </c>
      <c r="C50" s="536"/>
      <c r="D50" s="537"/>
      <c r="E50" s="361">
        <f>E12+E32+E33</f>
        <v>39531952.900000006</v>
      </c>
      <c r="F50" s="361">
        <f>F12+F32+F33</f>
        <v>0</v>
      </c>
      <c r="G50" s="361">
        <f>G12+G32+G33</f>
        <v>0</v>
      </c>
      <c r="H50" s="361">
        <f>H12+H32+H33</f>
        <v>39531952.900000006</v>
      </c>
    </row>
    <row r="51" spans="1:8" s="458" customFormat="1" ht="12.75" customHeight="1">
      <c r="A51" s="361" t="s">
        <v>368</v>
      </c>
      <c r="B51" s="528" t="s">
        <v>369</v>
      </c>
      <c r="C51" s="528"/>
      <c r="D51" s="526"/>
      <c r="E51" s="361">
        <f>E52+E53+E54+E55</f>
        <v>39354129.59</v>
      </c>
      <c r="F51" s="361">
        <f>F52+F53+F54+F55</f>
        <v>0</v>
      </c>
      <c r="G51" s="361">
        <f>G52+G53+G54+G55</f>
        <v>0</v>
      </c>
      <c r="H51" s="361">
        <f>H52+H53+H54+H55</f>
        <v>39354129.59</v>
      </c>
    </row>
    <row r="52" spans="1:8" s="458" customFormat="1" ht="12.75" customHeight="1">
      <c r="A52" s="465" t="s">
        <v>302</v>
      </c>
      <c r="B52" s="480" t="s">
        <v>370</v>
      </c>
      <c r="C52" s="480"/>
      <c r="D52" s="481"/>
      <c r="E52" s="546">
        <f>FBA!G60</f>
        <v>0</v>
      </c>
      <c r="F52" s="465"/>
      <c r="G52" s="465"/>
      <c r="H52" s="351">
        <f>E52+F52+G52</f>
        <v>0</v>
      </c>
    </row>
    <row r="53" spans="1:8" s="458" customFormat="1" ht="12.75" customHeight="1">
      <c r="A53" s="473" t="s">
        <v>314</v>
      </c>
      <c r="B53" s="474" t="s">
        <v>371</v>
      </c>
      <c r="C53" s="475"/>
      <c r="D53" s="476"/>
      <c r="E53" s="546">
        <f>FBA!G61</f>
        <v>39346931.64</v>
      </c>
      <c r="F53" s="473"/>
      <c r="G53" s="473"/>
      <c r="H53" s="351">
        <f>E53+F53+G53</f>
        <v>39346931.64</v>
      </c>
    </row>
    <row r="54" spans="1:8" s="458" customFormat="1" ht="12.75" customHeight="1">
      <c r="A54" s="465" t="s">
        <v>336</v>
      </c>
      <c r="B54" s="754" t="s">
        <v>372</v>
      </c>
      <c r="C54" s="755"/>
      <c r="D54" s="756"/>
      <c r="E54" s="546">
        <f>FBA!G62</f>
        <v>0</v>
      </c>
      <c r="F54" s="465"/>
      <c r="G54" s="465"/>
      <c r="H54" s="351">
        <f>E54+F54+G54</f>
        <v>0</v>
      </c>
    </row>
    <row r="55" spans="1:8" s="458" customFormat="1" ht="12.75" customHeight="1">
      <c r="A55" s="465" t="s">
        <v>373</v>
      </c>
      <c r="B55" s="480" t="s">
        <v>374</v>
      </c>
      <c r="C55" s="467"/>
      <c r="D55" s="493"/>
      <c r="E55" s="546">
        <f>FBA!G63</f>
        <v>7197.95</v>
      </c>
      <c r="F55" s="465"/>
      <c r="G55" s="465"/>
      <c r="H55" s="351">
        <f>E55+F55+G55</f>
        <v>7197.95</v>
      </c>
    </row>
    <row r="56" spans="1:8" s="458" customFormat="1" ht="12.75" customHeight="1">
      <c r="A56" s="361" t="s">
        <v>375</v>
      </c>
      <c r="B56" s="528" t="s">
        <v>376</v>
      </c>
      <c r="C56" s="529"/>
      <c r="D56" s="527"/>
      <c r="E56" s="361">
        <f>E57+E61</f>
        <v>132813.88</v>
      </c>
      <c r="F56" s="361">
        <f>F57+F61</f>
        <v>0</v>
      </c>
      <c r="G56" s="361">
        <f>G57+G61</f>
        <v>0</v>
      </c>
      <c r="H56" s="361">
        <f>H57+H61</f>
        <v>132813.88</v>
      </c>
    </row>
    <row r="57" spans="1:8" s="458" customFormat="1" ht="12.75" customHeight="1">
      <c r="A57" s="351" t="s">
        <v>302</v>
      </c>
      <c r="B57" s="530" t="s">
        <v>377</v>
      </c>
      <c r="C57" s="538"/>
      <c r="D57" s="539"/>
      <c r="E57" s="351">
        <f>SUM(E58:E60)</f>
        <v>0</v>
      </c>
      <c r="F57" s="351">
        <f>SUM(F58:F60)</f>
        <v>0</v>
      </c>
      <c r="G57" s="351">
        <f>SUM(G58:G60)</f>
        <v>0</v>
      </c>
      <c r="H57" s="351">
        <f>SUM(H58:H60)</f>
        <v>0</v>
      </c>
    </row>
    <row r="58" spans="1:8" s="458" customFormat="1" ht="12.75">
      <c r="A58" s="466" t="s">
        <v>304</v>
      </c>
      <c r="B58" s="494"/>
      <c r="C58" s="468" t="s">
        <v>378</v>
      </c>
      <c r="D58" s="495"/>
      <c r="E58" s="546">
        <f>FBA!G66</f>
        <v>0</v>
      </c>
      <c r="F58" s="465"/>
      <c r="G58" s="465"/>
      <c r="H58" s="351">
        <f>E58+F58+G58</f>
        <v>0</v>
      </c>
    </row>
    <row r="59" spans="1:8" s="458" customFormat="1" ht="12.75" customHeight="1">
      <c r="A59" s="466" t="s">
        <v>306</v>
      </c>
      <c r="B59" s="467"/>
      <c r="C59" s="468" t="s">
        <v>379</v>
      </c>
      <c r="D59" s="470"/>
      <c r="E59" s="546">
        <f>FBA!G67</f>
        <v>0</v>
      </c>
      <c r="F59" s="465"/>
      <c r="G59" s="465"/>
      <c r="H59" s="351">
        <f>E59+F59+G59</f>
        <v>0</v>
      </c>
    </row>
    <row r="60" spans="1:8" s="458" customFormat="1" ht="12.75" customHeight="1">
      <c r="A60" s="466" t="s">
        <v>380</v>
      </c>
      <c r="B60" s="467"/>
      <c r="C60" s="468" t="s">
        <v>381</v>
      </c>
      <c r="D60" s="470"/>
      <c r="E60" s="546">
        <f>FBA!G68</f>
        <v>0</v>
      </c>
      <c r="F60" s="465"/>
      <c r="G60" s="465"/>
      <c r="H60" s="351">
        <f>E60+F60+G60</f>
        <v>0</v>
      </c>
    </row>
    <row r="61" spans="1:8" s="55" customFormat="1" ht="12.75" customHeight="1">
      <c r="A61" s="351" t="s">
        <v>314</v>
      </c>
      <c r="B61" s="535" t="s">
        <v>382</v>
      </c>
      <c r="C61" s="536"/>
      <c r="D61" s="537"/>
      <c r="E61" s="351">
        <f>SUM(E62:E67,E70:E75)</f>
        <v>132813.88</v>
      </c>
      <c r="F61" s="351">
        <f>SUM(F62:F67,F70:F75)</f>
        <v>0</v>
      </c>
      <c r="G61" s="351">
        <f>SUM(G62:G67,G70:G75)</f>
        <v>0</v>
      </c>
      <c r="H61" s="351">
        <f>SUM(H62:H67,H70:H75)</f>
        <v>132813.88</v>
      </c>
    </row>
    <row r="62" spans="1:8" s="458" customFormat="1" ht="12.75" customHeight="1">
      <c r="A62" s="466" t="s">
        <v>316</v>
      </c>
      <c r="B62" s="467"/>
      <c r="C62" s="468" t="s">
        <v>383</v>
      </c>
      <c r="D62" s="469"/>
      <c r="E62" s="546">
        <f>FBA!G70</f>
        <v>0</v>
      </c>
      <c r="F62" s="465"/>
      <c r="G62" s="465"/>
      <c r="H62" s="351">
        <f>E62+F62+G62</f>
        <v>0</v>
      </c>
    </row>
    <row r="63" spans="1:8" s="458" customFormat="1" ht="12.75" customHeight="1">
      <c r="A63" s="466" t="s">
        <v>318</v>
      </c>
      <c r="B63" s="494"/>
      <c r="C63" s="468" t="s">
        <v>384</v>
      </c>
      <c r="D63" s="495"/>
      <c r="E63" s="546">
        <f>FBA!G71</f>
        <v>0</v>
      </c>
      <c r="F63" s="465"/>
      <c r="G63" s="465"/>
      <c r="H63" s="351">
        <f>E63+F63+G63</f>
        <v>0</v>
      </c>
    </row>
    <row r="64" spans="1:8" s="458" customFormat="1" ht="12.75">
      <c r="A64" s="466" t="s">
        <v>320</v>
      </c>
      <c r="B64" s="494"/>
      <c r="C64" s="468" t="s">
        <v>385</v>
      </c>
      <c r="D64" s="495"/>
      <c r="E64" s="546">
        <f>FBA!G72</f>
        <v>0</v>
      </c>
      <c r="F64" s="465"/>
      <c r="G64" s="465"/>
      <c r="H64" s="351">
        <f>E64+F64+G64</f>
        <v>0</v>
      </c>
    </row>
    <row r="65" spans="1:8" s="458" customFormat="1" ht="12.75">
      <c r="A65" s="496" t="s">
        <v>322</v>
      </c>
      <c r="B65" s="485"/>
      <c r="C65" s="497" t="s">
        <v>386</v>
      </c>
      <c r="D65" s="490"/>
      <c r="E65" s="546">
        <f>FBA!G73</f>
        <v>0</v>
      </c>
      <c r="F65" s="465"/>
      <c r="G65" s="465"/>
      <c r="H65" s="351">
        <f>E65+F65+G65</f>
        <v>0</v>
      </c>
    </row>
    <row r="66" spans="1:8" s="458" customFormat="1" ht="12.75">
      <c r="A66" s="465" t="s">
        <v>324</v>
      </c>
      <c r="B66" s="472"/>
      <c r="C66" s="472" t="s">
        <v>387</v>
      </c>
      <c r="D66" s="469"/>
      <c r="E66" s="546">
        <f>FBA!G74</f>
        <v>0</v>
      </c>
      <c r="F66" s="465"/>
      <c r="G66" s="465"/>
      <c r="H66" s="351">
        <f>E66+F66+G66</f>
        <v>0</v>
      </c>
    </row>
    <row r="67" spans="1:8" s="458" customFormat="1" ht="12.75" customHeight="1">
      <c r="A67" s="540" t="s">
        <v>326</v>
      </c>
      <c r="B67" s="536"/>
      <c r="C67" s="541" t="s">
        <v>388</v>
      </c>
      <c r="D67" s="542"/>
      <c r="E67" s="351">
        <f>E68+E69</f>
        <v>8464.81</v>
      </c>
      <c r="F67" s="351">
        <f>F68+F69</f>
        <v>0</v>
      </c>
      <c r="G67" s="351">
        <f>G68+G69</f>
        <v>0</v>
      </c>
      <c r="H67" s="351">
        <f>H68+H69</f>
        <v>8464.81</v>
      </c>
    </row>
    <row r="68" spans="1:8" s="458" customFormat="1" ht="12.75" customHeight="1">
      <c r="A68" s="201" t="s">
        <v>389</v>
      </c>
      <c r="B68" s="477"/>
      <c r="C68" s="492"/>
      <c r="D68" s="479" t="s">
        <v>390</v>
      </c>
      <c r="E68" s="546">
        <f>FBA!G76</f>
        <v>699.68</v>
      </c>
      <c r="F68" s="465"/>
      <c r="G68" s="465"/>
      <c r="H68" s="351">
        <f aca="true" t="shared" si="3" ref="H68:H75">E68+F68+G68</f>
        <v>699.68</v>
      </c>
    </row>
    <row r="69" spans="1:8" s="458" customFormat="1" ht="12.75" customHeight="1">
      <c r="A69" s="201" t="s">
        <v>391</v>
      </c>
      <c r="B69" s="477"/>
      <c r="C69" s="492"/>
      <c r="D69" s="479" t="s">
        <v>392</v>
      </c>
      <c r="E69" s="546">
        <f>FBA!G77</f>
        <v>7765.13</v>
      </c>
      <c r="F69" s="465"/>
      <c r="G69" s="465"/>
      <c r="H69" s="351">
        <f t="shared" si="3"/>
        <v>7765.13</v>
      </c>
    </row>
    <row r="70" spans="1:8" s="458" customFormat="1" ht="12.75" customHeight="1">
      <c r="A70" s="201" t="s">
        <v>328</v>
      </c>
      <c r="B70" s="487"/>
      <c r="C70" s="498" t="s">
        <v>393</v>
      </c>
      <c r="D70" s="499"/>
      <c r="E70" s="546">
        <f>FBA!G78</f>
        <v>0</v>
      </c>
      <c r="F70" s="465"/>
      <c r="G70" s="465"/>
      <c r="H70" s="351">
        <f t="shared" si="3"/>
        <v>0</v>
      </c>
    </row>
    <row r="71" spans="1:8" s="458" customFormat="1" ht="12.75" customHeight="1">
      <c r="A71" s="201" t="s">
        <v>330</v>
      </c>
      <c r="B71" s="500"/>
      <c r="C71" s="478" t="s">
        <v>394</v>
      </c>
      <c r="D71" s="501"/>
      <c r="E71" s="546">
        <f>FBA!G79</f>
        <v>0</v>
      </c>
      <c r="F71" s="465"/>
      <c r="G71" s="465"/>
      <c r="H71" s="351">
        <f t="shared" si="3"/>
        <v>0</v>
      </c>
    </row>
    <row r="72" spans="1:8" s="458" customFormat="1" ht="12.75" customHeight="1">
      <c r="A72" s="201" t="s">
        <v>332</v>
      </c>
      <c r="B72" s="467"/>
      <c r="C72" s="468" t="s">
        <v>395</v>
      </c>
      <c r="D72" s="470"/>
      <c r="E72" s="546">
        <f>FBA!G80</f>
        <v>50713.82</v>
      </c>
      <c r="F72" s="465"/>
      <c r="G72" s="465"/>
      <c r="H72" s="351">
        <f t="shared" si="3"/>
        <v>50713.82</v>
      </c>
    </row>
    <row r="73" spans="1:8" s="458" customFormat="1" ht="12.75" customHeight="1">
      <c r="A73" s="201" t="s">
        <v>334</v>
      </c>
      <c r="B73" s="467"/>
      <c r="C73" s="468" t="s">
        <v>396</v>
      </c>
      <c r="D73" s="470"/>
      <c r="E73" s="546">
        <f>FBA!G81</f>
        <v>0</v>
      </c>
      <c r="F73" s="465"/>
      <c r="G73" s="465"/>
      <c r="H73" s="351">
        <f t="shared" si="3"/>
        <v>0</v>
      </c>
    </row>
    <row r="74" spans="1:8" s="458" customFormat="1" ht="12.75" customHeight="1">
      <c r="A74" s="466" t="s">
        <v>397</v>
      </c>
      <c r="B74" s="477"/>
      <c r="C74" s="478" t="s">
        <v>398</v>
      </c>
      <c r="D74" s="479"/>
      <c r="E74" s="546">
        <f>FBA!G82</f>
        <v>73635.25</v>
      </c>
      <c r="F74" s="465"/>
      <c r="G74" s="465"/>
      <c r="H74" s="351">
        <f t="shared" si="3"/>
        <v>73635.25</v>
      </c>
    </row>
    <row r="75" spans="1:8" s="458" customFormat="1" ht="12.75" customHeight="1">
      <c r="A75" s="466" t="s">
        <v>399</v>
      </c>
      <c r="B75" s="467"/>
      <c r="C75" s="468" t="s">
        <v>400</v>
      </c>
      <c r="D75" s="470"/>
      <c r="E75" s="546">
        <f>FBA!G83</f>
        <v>0</v>
      </c>
      <c r="F75" s="465"/>
      <c r="G75" s="465"/>
      <c r="H75" s="351">
        <f t="shared" si="3"/>
        <v>0</v>
      </c>
    </row>
    <row r="76" spans="1:8" s="458" customFormat="1" ht="12.75" customHeight="1">
      <c r="A76" s="361" t="s">
        <v>401</v>
      </c>
      <c r="B76" s="543" t="s">
        <v>402</v>
      </c>
      <c r="C76" s="544"/>
      <c r="D76" s="545"/>
      <c r="E76" s="361">
        <f>E77+E78+E81+E82</f>
        <v>48204.01000000037</v>
      </c>
      <c r="F76" s="361">
        <f>F77+F78+F81+F82</f>
        <v>0</v>
      </c>
      <c r="G76" s="361">
        <f>G77+G78+G81+G82</f>
        <v>0</v>
      </c>
      <c r="H76" s="361">
        <f>H77+H78+H81+H82</f>
        <v>48204.01000000037</v>
      </c>
    </row>
    <row r="77" spans="1:8" s="458" customFormat="1" ht="12.75" customHeight="1">
      <c r="A77" s="465" t="s">
        <v>302</v>
      </c>
      <c r="B77" s="480" t="s">
        <v>403</v>
      </c>
      <c r="C77" s="467"/>
      <c r="D77" s="493"/>
      <c r="E77" s="546">
        <f>FBA!G85</f>
        <v>0</v>
      </c>
      <c r="F77" s="465"/>
      <c r="G77" s="465"/>
      <c r="H77" s="351">
        <f>E77+F77+G77</f>
        <v>0</v>
      </c>
    </row>
    <row r="78" spans="1:8" s="458" customFormat="1" ht="12.75" customHeight="1">
      <c r="A78" s="351" t="s">
        <v>314</v>
      </c>
      <c r="B78" s="530" t="s">
        <v>404</v>
      </c>
      <c r="C78" s="538"/>
      <c r="D78" s="539"/>
      <c r="E78" s="351">
        <f>E79+E80</f>
        <v>0</v>
      </c>
      <c r="F78" s="351">
        <f>F79+F80</f>
        <v>0</v>
      </c>
      <c r="G78" s="351">
        <f>G79+G80</f>
        <v>0</v>
      </c>
      <c r="H78" s="351">
        <f>H79+H80</f>
        <v>0</v>
      </c>
    </row>
    <row r="79" spans="1:8" s="458" customFormat="1" ht="12.75" customHeight="1">
      <c r="A79" s="466" t="s">
        <v>316</v>
      </c>
      <c r="B79" s="467"/>
      <c r="C79" s="468" t="s">
        <v>405</v>
      </c>
      <c r="D79" s="470"/>
      <c r="E79" s="546">
        <f>FBA!G87</f>
        <v>0</v>
      </c>
      <c r="F79" s="465"/>
      <c r="G79" s="465"/>
      <c r="H79" s="351">
        <f>E79+F79+G79</f>
        <v>0</v>
      </c>
    </row>
    <row r="80" spans="1:8" s="458" customFormat="1" ht="12.75" customHeight="1">
      <c r="A80" s="466" t="s">
        <v>318</v>
      </c>
      <c r="B80" s="467"/>
      <c r="C80" s="468" t="s">
        <v>406</v>
      </c>
      <c r="D80" s="470"/>
      <c r="E80" s="546">
        <f>FBA!G88</f>
        <v>0</v>
      </c>
      <c r="F80" s="465"/>
      <c r="G80" s="465"/>
      <c r="H80" s="351">
        <f>E80+F80+G80</f>
        <v>0</v>
      </c>
    </row>
    <row r="81" spans="1:8" s="458" customFormat="1" ht="12.75" customHeight="1">
      <c r="A81" s="200" t="s">
        <v>336</v>
      </c>
      <c r="B81" s="492" t="s">
        <v>407</v>
      </c>
      <c r="C81" s="492"/>
      <c r="D81" s="454"/>
      <c r="E81" s="546">
        <f>FBA!G89</f>
        <v>0</v>
      </c>
      <c r="F81" s="465"/>
      <c r="G81" s="465"/>
      <c r="H81" s="351">
        <f>E81+F81+G81</f>
        <v>0</v>
      </c>
    </row>
    <row r="82" spans="1:8" s="458" customFormat="1" ht="12.75" customHeight="1">
      <c r="A82" s="534" t="s">
        <v>338</v>
      </c>
      <c r="B82" s="535" t="s">
        <v>408</v>
      </c>
      <c r="C82" s="536"/>
      <c r="D82" s="537"/>
      <c r="E82" s="351">
        <f>E83+E84</f>
        <v>48204.01000000037</v>
      </c>
      <c r="F82" s="351">
        <f>F83+F84</f>
        <v>0</v>
      </c>
      <c r="G82" s="351">
        <f>G83+G84</f>
        <v>0</v>
      </c>
      <c r="H82" s="351">
        <f>H83+H84</f>
        <v>48204.01000000037</v>
      </c>
    </row>
    <row r="83" spans="1:8" s="458" customFormat="1" ht="12.75" customHeight="1">
      <c r="A83" s="466" t="s">
        <v>409</v>
      </c>
      <c r="B83" s="463"/>
      <c r="C83" s="468" t="s">
        <v>410</v>
      </c>
      <c r="D83" s="504"/>
      <c r="E83" s="546">
        <f>FBA!G91</f>
        <v>24822.790000000372</v>
      </c>
      <c r="F83" s="465"/>
      <c r="G83" s="465"/>
      <c r="H83" s="351">
        <f>E83+F83+G83</f>
        <v>24822.790000000372</v>
      </c>
    </row>
    <row r="84" spans="1:8" s="458" customFormat="1" ht="12.75" customHeight="1">
      <c r="A84" s="466" t="s">
        <v>411</v>
      </c>
      <c r="B84" s="463"/>
      <c r="C84" s="468" t="s">
        <v>412</v>
      </c>
      <c r="D84" s="504"/>
      <c r="E84" s="546">
        <f>FBA!G92</f>
        <v>23381.22</v>
      </c>
      <c r="F84" s="465"/>
      <c r="G84" s="465"/>
      <c r="H84" s="351">
        <f>E84+F84+G84</f>
        <v>23381.22</v>
      </c>
    </row>
    <row r="85" spans="1:8" s="458" customFormat="1" ht="12.75" customHeight="1">
      <c r="A85" s="461" t="s">
        <v>413</v>
      </c>
      <c r="B85" s="502" t="s">
        <v>414</v>
      </c>
      <c r="C85" s="503"/>
      <c r="D85" s="503"/>
      <c r="E85" s="546">
        <f>FBA!G93</f>
        <v>0</v>
      </c>
      <c r="F85" s="465"/>
      <c r="G85" s="465"/>
      <c r="H85" s="351">
        <f>E85+F85+G85</f>
        <v>0</v>
      </c>
    </row>
    <row r="86" spans="1:8" s="458" customFormat="1" ht="25.5" customHeight="1">
      <c r="A86" s="461"/>
      <c r="B86" s="674" t="s">
        <v>415</v>
      </c>
      <c r="C86" s="757"/>
      <c r="D86" s="753"/>
      <c r="E86" s="361">
        <f>E51+E56+E76+E85</f>
        <v>39535147.480000004</v>
      </c>
      <c r="F86" s="361">
        <f>F51+F56+F76+F85</f>
        <v>0</v>
      </c>
      <c r="G86" s="361">
        <f>G51+G56+G76+G85</f>
        <v>0</v>
      </c>
      <c r="H86" s="361">
        <f>H51+H56+H76+H85</f>
        <v>39535147.480000004</v>
      </c>
    </row>
    <row r="87" spans="1:8" s="458" customFormat="1" ht="12.75">
      <c r="A87" s="505"/>
      <c r="B87" s="506"/>
      <c r="C87" s="506"/>
      <c r="D87" s="506"/>
      <c r="E87" s="456"/>
      <c r="F87" s="456"/>
      <c r="G87" s="456"/>
      <c r="H87" s="456"/>
    </row>
    <row r="88" spans="1:8" s="458" customFormat="1" ht="12.75" customHeight="1">
      <c r="A88" s="758" t="s">
        <v>284</v>
      </c>
      <c r="B88" s="758"/>
      <c r="C88" s="758"/>
      <c r="D88" s="758"/>
      <c r="E88" s="758"/>
      <c r="F88" s="758"/>
      <c r="G88" s="758"/>
      <c r="H88" s="758"/>
    </row>
    <row r="89" spans="1:8" s="458" customFormat="1" ht="12.75">
      <c r="A89" s="748"/>
      <c r="B89" s="748"/>
      <c r="C89" s="748"/>
      <c r="D89" s="748"/>
      <c r="E89" s="748"/>
      <c r="F89" s="748"/>
      <c r="G89" s="748"/>
      <c r="H89" s="748"/>
    </row>
    <row r="90" spans="1:8" s="458" customFormat="1" ht="12.75">
      <c r="A90" s="66"/>
      <c r="B90" s="66"/>
      <c r="C90" s="66"/>
      <c r="D90" s="66"/>
      <c r="E90" s="507"/>
      <c r="F90" s="507"/>
      <c r="G90" s="507"/>
      <c r="H90" s="507"/>
    </row>
    <row r="91" s="458" customFormat="1" ht="12.75"/>
    <row r="92" s="458" customFormat="1" ht="12.75"/>
    <row r="93" s="458" customFormat="1" ht="12.75"/>
    <row r="94" s="458" customFormat="1" ht="12.75"/>
    <row r="95" s="458" customFormat="1" ht="12.75"/>
    <row r="96" s="458" customFormat="1" ht="12.75"/>
    <row r="97" s="458" customFormat="1" ht="12.75"/>
    <row r="98" s="458" customFormat="1" ht="12.75"/>
    <row r="99" s="458" customFormat="1" ht="12.75"/>
    <row r="100" s="458" customFormat="1" ht="12.75"/>
    <row r="101" s="458" customFormat="1" ht="12.75"/>
    <row r="102" s="458" customFormat="1" ht="12.75"/>
    <row r="103" s="458" customFormat="1" ht="12.75"/>
    <row r="104" s="458" customFormat="1" ht="12.75"/>
    <row r="105" s="458" customFormat="1" ht="12.75"/>
    <row r="106" s="458" customFormat="1" ht="12.75"/>
    <row r="107" s="458" customFormat="1" ht="12.75"/>
    <row r="108" s="458" customFormat="1" ht="12.75"/>
    <row r="109" s="458" customFormat="1" ht="12.75"/>
    <row r="110" s="458" customFormat="1" ht="12.75"/>
    <row r="111" s="458" customFormat="1" ht="12.75"/>
    <row r="112" s="458" customFormat="1" ht="12.75"/>
    <row r="113" s="458" customFormat="1" ht="12.75"/>
  </sheetData>
  <sheetProtection/>
  <mergeCells count="18">
    <mergeCell ref="E1:H1"/>
    <mergeCell ref="E2:H2"/>
    <mergeCell ref="A5:H6"/>
    <mergeCell ref="A7:D7"/>
    <mergeCell ref="A8:H8"/>
    <mergeCell ref="A9:A10"/>
    <mergeCell ref="B9:D10"/>
    <mergeCell ref="E9:E10"/>
    <mergeCell ref="F9:G9"/>
    <mergeCell ref="H9:H10"/>
    <mergeCell ref="A89:D89"/>
    <mergeCell ref="E89:H89"/>
    <mergeCell ref="B11:D11"/>
    <mergeCell ref="C39:D39"/>
    <mergeCell ref="C45:D45"/>
    <mergeCell ref="B54:D54"/>
    <mergeCell ref="B86:D86"/>
    <mergeCell ref="A88:H88"/>
  </mergeCells>
  <printOptions/>
  <pageMargins left="0.5118110236220472" right="0.31496062992125984" top="0.35433070866141736"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K54"/>
  <sheetViews>
    <sheetView zoomScalePageLayoutView="0" workbookViewId="0" topLeftCell="C22">
      <selection activeCell="K22" sqref="K22"/>
    </sheetView>
  </sheetViews>
  <sheetFormatPr defaultColWidth="9.140625" defaultRowHeight="12.75"/>
  <cols>
    <col min="1" max="1" width="5.421875" style="509" bestFit="1" customWidth="1"/>
    <col min="2" max="2" width="1.57421875" style="509" hidden="1" customWidth="1"/>
    <col min="3" max="3" width="29.421875" style="509" customWidth="1"/>
    <col min="4" max="4" width="18.28125" style="509" customWidth="1"/>
    <col min="5" max="5" width="12.00390625" style="509" customWidth="1"/>
    <col min="6" max="6" width="11.7109375" style="509" customWidth="1"/>
    <col min="7" max="7" width="13.28125" style="509" customWidth="1"/>
    <col min="8" max="9" width="12.7109375" style="509" customWidth="1"/>
    <col min="10" max="10" width="14.7109375" style="509" customWidth="1"/>
    <col min="11" max="11" width="12.7109375" style="509" customWidth="1"/>
    <col min="12" max="16384" width="9.140625" style="509" customWidth="1"/>
  </cols>
  <sheetData>
    <row r="1" spans="4:11" ht="12.75">
      <c r="D1" s="508" t="s">
        <v>275</v>
      </c>
      <c r="G1" s="825"/>
      <c r="H1" s="825"/>
      <c r="I1" s="825"/>
      <c r="J1" s="825"/>
      <c r="K1" s="825"/>
    </row>
    <row r="2" spans="4:11" ht="15.75" customHeight="1">
      <c r="D2" s="510"/>
      <c r="E2" s="510"/>
      <c r="F2" s="510"/>
      <c r="G2" s="826" t="s">
        <v>267</v>
      </c>
      <c r="H2" s="827"/>
      <c r="I2" s="827"/>
      <c r="J2" s="827"/>
      <c r="K2" s="827"/>
    </row>
    <row r="3" spans="4:11" ht="15.75" customHeight="1">
      <c r="D3" s="510"/>
      <c r="E3" s="510"/>
      <c r="F3" s="510"/>
      <c r="G3" s="827"/>
      <c r="H3" s="827"/>
      <c r="I3" s="827"/>
      <c r="J3" s="827"/>
      <c r="K3" s="827"/>
    </row>
    <row r="4" spans="4:11" ht="15.75" customHeight="1">
      <c r="D4" s="510" t="s">
        <v>276</v>
      </c>
      <c r="E4" s="510"/>
      <c r="F4" s="510"/>
      <c r="G4" s="510" t="s">
        <v>277</v>
      </c>
      <c r="H4" s="511"/>
      <c r="I4" s="510"/>
      <c r="J4" s="510"/>
      <c r="K4" s="510"/>
    </row>
    <row r="6" spans="1:11" ht="15.75" customHeight="1">
      <c r="A6" s="828" t="s">
        <v>278</v>
      </c>
      <c r="B6" s="828"/>
      <c r="C6" s="828"/>
      <c r="D6" s="828"/>
      <c r="E6" s="828"/>
      <c r="F6" s="828"/>
      <c r="G6" s="828"/>
      <c r="H6" s="828"/>
      <c r="I6" s="828"/>
      <c r="J6" s="828"/>
      <c r="K6" s="828"/>
    </row>
    <row r="7" spans="1:11" ht="29.25" customHeight="1">
      <c r="A7" s="828"/>
      <c r="B7" s="828"/>
      <c r="C7" s="828"/>
      <c r="D7" s="828"/>
      <c r="E7" s="828"/>
      <c r="F7" s="828"/>
      <c r="G7" s="828"/>
      <c r="H7" s="828"/>
      <c r="I7" s="828"/>
      <c r="J7" s="828"/>
      <c r="K7" s="828"/>
    </row>
    <row r="8" spans="1:11" ht="15">
      <c r="A8" s="829"/>
      <c r="B8" s="811"/>
      <c r="C8" s="811"/>
      <c r="D8" s="811"/>
      <c r="E8" s="811"/>
      <c r="F8" s="811"/>
      <c r="G8" s="811"/>
      <c r="H8" s="811"/>
      <c r="I8" s="811"/>
      <c r="J8" s="811"/>
      <c r="K8" s="811"/>
    </row>
    <row r="9" spans="1:11" ht="14.25">
      <c r="A9" s="808" t="s">
        <v>279</v>
      </c>
      <c r="B9" s="809"/>
      <c r="C9" s="809"/>
      <c r="D9" s="809"/>
      <c r="E9" s="809"/>
      <c r="F9" s="809"/>
      <c r="G9" s="809"/>
      <c r="H9" s="809"/>
      <c r="I9" s="809"/>
      <c r="J9" s="809"/>
      <c r="K9" s="809"/>
    </row>
    <row r="10" spans="1:11" ht="15">
      <c r="A10" s="810"/>
      <c r="B10" s="811"/>
      <c r="C10" s="811"/>
      <c r="D10" s="811"/>
      <c r="E10" s="811"/>
      <c r="F10" s="811"/>
      <c r="G10" s="812"/>
      <c r="H10" s="811"/>
      <c r="I10" s="811"/>
      <c r="J10" s="811"/>
      <c r="K10" s="811"/>
    </row>
    <row r="11" spans="1:11" s="520" customFormat="1" ht="78.75" customHeight="1">
      <c r="A11" s="813" t="s">
        <v>295</v>
      </c>
      <c r="B11" s="814"/>
      <c r="C11" s="813" t="s">
        <v>296</v>
      </c>
      <c r="D11" s="817"/>
      <c r="E11" s="817"/>
      <c r="F11" s="814"/>
      <c r="G11" s="819" t="s">
        <v>504</v>
      </c>
      <c r="H11" s="819" t="s">
        <v>427</v>
      </c>
      <c r="I11" s="821" t="s">
        <v>270</v>
      </c>
      <c r="J11" s="822"/>
      <c r="K11" s="823" t="s">
        <v>280</v>
      </c>
    </row>
    <row r="12" spans="1:11" s="520" customFormat="1" ht="37.5" customHeight="1">
      <c r="A12" s="815"/>
      <c r="B12" s="816"/>
      <c r="C12" s="815"/>
      <c r="D12" s="818"/>
      <c r="E12" s="818"/>
      <c r="F12" s="816"/>
      <c r="G12" s="820"/>
      <c r="H12" s="820"/>
      <c r="I12" s="461" t="s">
        <v>272</v>
      </c>
      <c r="J12" s="461" t="s">
        <v>281</v>
      </c>
      <c r="K12" s="824"/>
    </row>
    <row r="13" spans="1:11" s="520" customFormat="1" ht="15.75">
      <c r="A13" s="512">
        <v>1</v>
      </c>
      <c r="B13" s="512"/>
      <c r="C13" s="803">
        <v>2</v>
      </c>
      <c r="D13" s="804"/>
      <c r="E13" s="804"/>
      <c r="F13" s="805"/>
      <c r="G13" s="512">
        <v>3</v>
      </c>
      <c r="H13" s="513">
        <v>4</v>
      </c>
      <c r="I13" s="514">
        <v>5</v>
      </c>
      <c r="J13" s="514">
        <v>6</v>
      </c>
      <c r="K13" s="513" t="s">
        <v>282</v>
      </c>
    </row>
    <row r="14" spans="1:11" ht="15.75">
      <c r="A14" s="548" t="s">
        <v>300</v>
      </c>
      <c r="B14" s="547" t="s">
        <v>428</v>
      </c>
      <c r="C14" s="802" t="s">
        <v>428</v>
      </c>
      <c r="D14" s="806"/>
      <c r="E14" s="806"/>
      <c r="F14" s="806"/>
      <c r="G14" s="547"/>
      <c r="H14" s="551">
        <f>H15+H20+H21</f>
        <v>4088773.18</v>
      </c>
      <c r="I14" s="551">
        <f>I15+I20+I21</f>
        <v>0</v>
      </c>
      <c r="J14" s="551">
        <f>J15+J20+J21</f>
        <v>0</v>
      </c>
      <c r="K14" s="551">
        <f>K15+K20+K21</f>
        <v>4088773.18</v>
      </c>
    </row>
    <row r="15" spans="1:11" ht="15.75">
      <c r="A15" s="549" t="s">
        <v>302</v>
      </c>
      <c r="B15" s="550" t="s">
        <v>429</v>
      </c>
      <c r="C15" s="807" t="s">
        <v>429</v>
      </c>
      <c r="D15" s="807"/>
      <c r="E15" s="807"/>
      <c r="F15" s="807"/>
      <c r="G15" s="547"/>
      <c r="H15" s="555">
        <f>SUM(H16:H19)</f>
        <v>3940056.95</v>
      </c>
      <c r="I15" s="555">
        <f>SUM(I16:I19)</f>
        <v>0</v>
      </c>
      <c r="J15" s="555">
        <f>SUM(J16:J19)</f>
        <v>0</v>
      </c>
      <c r="K15" s="555">
        <f>SUM(K16:K19)</f>
        <v>3940056.95</v>
      </c>
    </row>
    <row r="16" spans="1:11" ht="15.75">
      <c r="A16" s="516" t="s">
        <v>430</v>
      </c>
      <c r="B16" s="517" t="s">
        <v>370</v>
      </c>
      <c r="C16" s="800" t="s">
        <v>370</v>
      </c>
      <c r="D16" s="800"/>
      <c r="E16" s="800"/>
      <c r="F16" s="800"/>
      <c r="G16" s="518"/>
      <c r="H16" s="559">
        <f>VRA!I23</f>
        <v>237193.9</v>
      </c>
      <c r="I16" s="553"/>
      <c r="J16" s="553"/>
      <c r="K16" s="558">
        <f>H16+I16+J16</f>
        <v>237193.9</v>
      </c>
    </row>
    <row r="17" spans="1:11" ht="15.75">
      <c r="A17" s="516" t="s">
        <v>431</v>
      </c>
      <c r="B17" s="519" t="s">
        <v>432</v>
      </c>
      <c r="C17" s="797" t="s">
        <v>432</v>
      </c>
      <c r="D17" s="797"/>
      <c r="E17" s="797"/>
      <c r="F17" s="797"/>
      <c r="G17" s="515"/>
      <c r="H17" s="559">
        <f>VRA!I24</f>
        <v>3675531.45</v>
      </c>
      <c r="I17" s="553"/>
      <c r="J17" s="553"/>
      <c r="K17" s="558">
        <f>H17+I17+J17</f>
        <v>3675531.45</v>
      </c>
    </row>
    <row r="18" spans="1:11" ht="15.75">
      <c r="A18" s="516" t="s">
        <v>433</v>
      </c>
      <c r="B18" s="517" t="s">
        <v>434</v>
      </c>
      <c r="C18" s="797" t="s">
        <v>434</v>
      </c>
      <c r="D18" s="797"/>
      <c r="E18" s="797"/>
      <c r="F18" s="797"/>
      <c r="G18" s="515"/>
      <c r="H18" s="559">
        <f>VRA!I25</f>
        <v>0</v>
      </c>
      <c r="I18" s="553"/>
      <c r="J18" s="553"/>
      <c r="K18" s="558">
        <f>H18+I18+J18</f>
        <v>0</v>
      </c>
    </row>
    <row r="19" spans="1:11" ht="15.75">
      <c r="A19" s="516" t="s">
        <v>435</v>
      </c>
      <c r="B19" s="519" t="s">
        <v>436</v>
      </c>
      <c r="C19" s="797" t="s">
        <v>436</v>
      </c>
      <c r="D19" s="797"/>
      <c r="E19" s="797"/>
      <c r="F19" s="797"/>
      <c r="G19" s="515"/>
      <c r="H19" s="559">
        <f>VRA!I26</f>
        <v>27331.6</v>
      </c>
      <c r="I19" s="553"/>
      <c r="J19" s="553"/>
      <c r="K19" s="558">
        <f>H19+I19+J19</f>
        <v>27331.6</v>
      </c>
    </row>
    <row r="20" spans="1:11" ht="15.75">
      <c r="A20" s="516" t="s">
        <v>314</v>
      </c>
      <c r="B20" s="517" t="s">
        <v>437</v>
      </c>
      <c r="C20" s="797" t="s">
        <v>437</v>
      </c>
      <c r="D20" s="797"/>
      <c r="E20" s="797"/>
      <c r="F20" s="797"/>
      <c r="G20" s="515"/>
      <c r="H20" s="559">
        <f>VRA!I27</f>
        <v>0</v>
      </c>
      <c r="I20" s="553"/>
      <c r="J20" s="553"/>
      <c r="K20" s="558">
        <f>H20+I20+J20</f>
        <v>0</v>
      </c>
    </row>
    <row r="21" spans="1:11" ht="15.75">
      <c r="A21" s="549" t="s">
        <v>336</v>
      </c>
      <c r="B21" s="550" t="s">
        <v>438</v>
      </c>
      <c r="C21" s="801" t="s">
        <v>438</v>
      </c>
      <c r="D21" s="801"/>
      <c r="E21" s="801"/>
      <c r="F21" s="801"/>
      <c r="G21" s="547"/>
      <c r="H21" s="559">
        <f>H22-H23</f>
        <v>148716.23</v>
      </c>
      <c r="I21" s="555">
        <f>I22-I23</f>
        <v>0</v>
      </c>
      <c r="J21" s="555">
        <f>J22-J23</f>
        <v>0</v>
      </c>
      <c r="K21" s="555">
        <f>K22-K23</f>
        <v>148716.23</v>
      </c>
    </row>
    <row r="22" spans="1:11" ht="15.75">
      <c r="A22" s="516" t="s">
        <v>439</v>
      </c>
      <c r="B22" s="519" t="s">
        <v>440</v>
      </c>
      <c r="C22" s="797" t="s">
        <v>440</v>
      </c>
      <c r="D22" s="797"/>
      <c r="E22" s="797"/>
      <c r="F22" s="797"/>
      <c r="G22" s="515"/>
      <c r="H22" s="559">
        <f>VRA!I29</f>
        <v>148716.23</v>
      </c>
      <c r="I22" s="553"/>
      <c r="J22" s="553"/>
      <c r="K22" s="558">
        <f>H22+I22+J22</f>
        <v>148716.23</v>
      </c>
    </row>
    <row r="23" spans="1:11" ht="15.75">
      <c r="A23" s="516" t="s">
        <v>441</v>
      </c>
      <c r="B23" s="519" t="s">
        <v>442</v>
      </c>
      <c r="C23" s="797" t="s">
        <v>442</v>
      </c>
      <c r="D23" s="797"/>
      <c r="E23" s="797"/>
      <c r="F23" s="797"/>
      <c r="G23" s="515"/>
      <c r="H23" s="559">
        <f>VRA!I30</f>
        <v>0</v>
      </c>
      <c r="I23" s="553"/>
      <c r="J23" s="553"/>
      <c r="K23" s="558">
        <f>H23+I23+J23</f>
        <v>0</v>
      </c>
    </row>
    <row r="24" spans="1:11" ht="15.75">
      <c r="A24" s="548" t="s">
        <v>340</v>
      </c>
      <c r="B24" s="547" t="s">
        <v>443</v>
      </c>
      <c r="C24" s="802" t="s">
        <v>443</v>
      </c>
      <c r="D24" s="802"/>
      <c r="E24" s="802"/>
      <c r="F24" s="802"/>
      <c r="G24" s="547"/>
      <c r="H24" s="551">
        <f>SUM(H25:H38)</f>
        <v>4061488.03</v>
      </c>
      <c r="I24" s="551">
        <f>SUM(I25:I38)</f>
        <v>0</v>
      </c>
      <c r="J24" s="551">
        <f>SUM(J25:J38)</f>
        <v>0</v>
      </c>
      <c r="K24" s="551">
        <f>SUM(K25:K38)</f>
        <v>4061488.03</v>
      </c>
    </row>
    <row r="25" spans="1:11" ht="15.75">
      <c r="A25" s="516" t="s">
        <v>302</v>
      </c>
      <c r="B25" s="517" t="s">
        <v>444</v>
      </c>
      <c r="C25" s="797" t="s">
        <v>445</v>
      </c>
      <c r="D25" s="798"/>
      <c r="E25" s="798"/>
      <c r="F25" s="798"/>
      <c r="G25" s="515"/>
      <c r="H25" s="559">
        <f>VRA!I32</f>
        <v>1933119.02</v>
      </c>
      <c r="I25" s="553"/>
      <c r="J25" s="553"/>
      <c r="K25" s="558">
        <f aca="true" t="shared" si="0" ref="K25:K38">H25+I25+J25</f>
        <v>1933119.02</v>
      </c>
    </row>
    <row r="26" spans="1:11" ht="15.75">
      <c r="A26" s="516" t="s">
        <v>314</v>
      </c>
      <c r="B26" s="517" t="s">
        <v>446</v>
      </c>
      <c r="C26" s="797" t="s">
        <v>447</v>
      </c>
      <c r="D26" s="798"/>
      <c r="E26" s="798"/>
      <c r="F26" s="798"/>
      <c r="G26" s="515"/>
      <c r="H26" s="559">
        <f>VRA!I33</f>
        <v>692623.34</v>
      </c>
      <c r="I26" s="553"/>
      <c r="J26" s="553"/>
      <c r="K26" s="558">
        <f t="shared" si="0"/>
        <v>692623.34</v>
      </c>
    </row>
    <row r="27" spans="1:11" ht="15.75">
      <c r="A27" s="516" t="s">
        <v>336</v>
      </c>
      <c r="B27" s="517" t="s">
        <v>448</v>
      </c>
      <c r="C27" s="797" t="s">
        <v>449</v>
      </c>
      <c r="D27" s="798"/>
      <c r="E27" s="798"/>
      <c r="F27" s="798"/>
      <c r="G27" s="519"/>
      <c r="H27" s="559">
        <f>VRA!I34</f>
        <v>348827.96</v>
      </c>
      <c r="I27" s="554"/>
      <c r="J27" s="554"/>
      <c r="K27" s="558">
        <f t="shared" si="0"/>
        <v>348827.96</v>
      </c>
    </row>
    <row r="28" spans="1:11" ht="15.75">
      <c r="A28" s="516" t="s">
        <v>338</v>
      </c>
      <c r="B28" s="517" t="s">
        <v>450</v>
      </c>
      <c r="C28" s="800" t="s">
        <v>451</v>
      </c>
      <c r="D28" s="798"/>
      <c r="E28" s="798"/>
      <c r="F28" s="798"/>
      <c r="G28" s="519"/>
      <c r="H28" s="559">
        <f>VRA!I35</f>
        <v>766</v>
      </c>
      <c r="I28" s="554"/>
      <c r="J28" s="554"/>
      <c r="K28" s="558">
        <f t="shared" si="0"/>
        <v>766</v>
      </c>
    </row>
    <row r="29" spans="1:11" ht="15.75">
      <c r="A29" s="516" t="s">
        <v>365</v>
      </c>
      <c r="B29" s="517" t="s">
        <v>452</v>
      </c>
      <c r="C29" s="800" t="s">
        <v>453</v>
      </c>
      <c r="D29" s="798"/>
      <c r="E29" s="798"/>
      <c r="F29" s="798"/>
      <c r="G29" s="519"/>
      <c r="H29" s="559">
        <f>VRA!I36</f>
        <v>57623.62</v>
      </c>
      <c r="I29" s="554"/>
      <c r="J29" s="554"/>
      <c r="K29" s="558">
        <f t="shared" si="0"/>
        <v>57623.62</v>
      </c>
    </row>
    <row r="30" spans="1:11" ht="15.75">
      <c r="A30" s="516" t="s">
        <v>454</v>
      </c>
      <c r="B30" s="517" t="s">
        <v>455</v>
      </c>
      <c r="C30" s="800" t="s">
        <v>456</v>
      </c>
      <c r="D30" s="798"/>
      <c r="E30" s="798"/>
      <c r="F30" s="798"/>
      <c r="G30" s="519"/>
      <c r="H30" s="559">
        <f>VRA!I37</f>
        <v>1145</v>
      </c>
      <c r="I30" s="554"/>
      <c r="J30" s="554"/>
      <c r="K30" s="558">
        <f t="shared" si="0"/>
        <v>1145</v>
      </c>
    </row>
    <row r="31" spans="1:11" ht="15.75">
      <c r="A31" s="516" t="s">
        <v>457</v>
      </c>
      <c r="B31" s="517" t="s">
        <v>458</v>
      </c>
      <c r="C31" s="800" t="s">
        <v>459</v>
      </c>
      <c r="D31" s="798"/>
      <c r="E31" s="798"/>
      <c r="F31" s="798"/>
      <c r="G31" s="519"/>
      <c r="H31" s="559">
        <f>VRA!I38</f>
        <v>478.16</v>
      </c>
      <c r="I31" s="554"/>
      <c r="J31" s="554"/>
      <c r="K31" s="558">
        <f t="shared" si="0"/>
        <v>478.16</v>
      </c>
    </row>
    <row r="32" spans="1:11" ht="15.75">
      <c r="A32" s="516" t="s">
        <v>460</v>
      </c>
      <c r="B32" s="517" t="s">
        <v>461</v>
      </c>
      <c r="C32" s="797" t="s">
        <v>461</v>
      </c>
      <c r="D32" s="798"/>
      <c r="E32" s="798"/>
      <c r="F32" s="798"/>
      <c r="G32" s="519"/>
      <c r="H32" s="559">
        <f>VRA!I39</f>
        <v>0</v>
      </c>
      <c r="I32" s="554"/>
      <c r="J32" s="554"/>
      <c r="K32" s="558">
        <f t="shared" si="0"/>
        <v>0</v>
      </c>
    </row>
    <row r="33" spans="1:11" ht="15.75">
      <c r="A33" s="516" t="s">
        <v>462</v>
      </c>
      <c r="B33" s="517" t="s">
        <v>463</v>
      </c>
      <c r="C33" s="800" t="s">
        <v>463</v>
      </c>
      <c r="D33" s="798"/>
      <c r="E33" s="798"/>
      <c r="F33" s="798"/>
      <c r="G33" s="519"/>
      <c r="H33" s="559">
        <f>VRA!I40</f>
        <v>856311.67</v>
      </c>
      <c r="I33" s="554"/>
      <c r="J33" s="554"/>
      <c r="K33" s="558">
        <f t="shared" si="0"/>
        <v>856311.67</v>
      </c>
    </row>
    <row r="34" spans="1:11" ht="15.75" customHeight="1">
      <c r="A34" s="516" t="s">
        <v>464</v>
      </c>
      <c r="B34" s="517" t="s">
        <v>465</v>
      </c>
      <c r="C34" s="797" t="s">
        <v>466</v>
      </c>
      <c r="D34" s="797"/>
      <c r="E34" s="797"/>
      <c r="F34" s="797"/>
      <c r="G34" s="519"/>
      <c r="H34" s="559">
        <f>VRA!I41</f>
        <v>0</v>
      </c>
      <c r="I34" s="554"/>
      <c r="J34" s="554"/>
      <c r="K34" s="558">
        <f t="shared" si="0"/>
        <v>0</v>
      </c>
    </row>
    <row r="35" spans="1:11" ht="15.75" customHeight="1">
      <c r="A35" s="516" t="s">
        <v>467</v>
      </c>
      <c r="B35" s="517" t="s">
        <v>468</v>
      </c>
      <c r="C35" s="797" t="s">
        <v>469</v>
      </c>
      <c r="D35" s="798"/>
      <c r="E35" s="798"/>
      <c r="F35" s="798"/>
      <c r="G35" s="519"/>
      <c r="H35" s="559">
        <f>VRA!I42</f>
        <v>884.76</v>
      </c>
      <c r="I35" s="554"/>
      <c r="J35" s="554"/>
      <c r="K35" s="558">
        <f t="shared" si="0"/>
        <v>884.76</v>
      </c>
    </row>
    <row r="36" spans="1:11" ht="15.75">
      <c r="A36" s="516" t="s">
        <v>470</v>
      </c>
      <c r="B36" s="517" t="s">
        <v>471</v>
      </c>
      <c r="C36" s="797" t="s">
        <v>472</v>
      </c>
      <c r="D36" s="798"/>
      <c r="E36" s="798"/>
      <c r="F36" s="798"/>
      <c r="G36" s="519"/>
      <c r="H36" s="559">
        <f>VRA!I43</f>
        <v>0</v>
      </c>
      <c r="I36" s="554"/>
      <c r="J36" s="554"/>
      <c r="K36" s="558">
        <f t="shared" si="0"/>
        <v>0</v>
      </c>
    </row>
    <row r="37" spans="1:11" ht="15.75">
      <c r="A37" s="516" t="s">
        <v>473</v>
      </c>
      <c r="B37" s="517" t="s">
        <v>474</v>
      </c>
      <c r="C37" s="797" t="s">
        <v>475</v>
      </c>
      <c r="D37" s="798"/>
      <c r="E37" s="798"/>
      <c r="F37" s="798"/>
      <c r="G37" s="519"/>
      <c r="H37" s="559">
        <f>VRA!I44</f>
        <v>168808.5</v>
      </c>
      <c r="I37" s="554"/>
      <c r="J37" s="554"/>
      <c r="K37" s="558">
        <f t="shared" si="0"/>
        <v>168808.5</v>
      </c>
    </row>
    <row r="38" spans="1:11" ht="15.75">
      <c r="A38" s="516" t="s">
        <v>476</v>
      </c>
      <c r="B38" s="517" t="s">
        <v>477</v>
      </c>
      <c r="C38" s="783" t="s">
        <v>478</v>
      </c>
      <c r="D38" s="784"/>
      <c r="E38" s="784"/>
      <c r="F38" s="785"/>
      <c r="G38" s="519"/>
      <c r="H38" s="559">
        <f>VRA!I45</f>
        <v>900</v>
      </c>
      <c r="I38" s="554"/>
      <c r="J38" s="554"/>
      <c r="K38" s="558">
        <f t="shared" si="0"/>
        <v>900</v>
      </c>
    </row>
    <row r="39" spans="1:11" ht="15.75">
      <c r="A39" s="547" t="s">
        <v>342</v>
      </c>
      <c r="B39" s="557" t="s">
        <v>479</v>
      </c>
      <c r="C39" s="780" t="s">
        <v>479</v>
      </c>
      <c r="D39" s="781"/>
      <c r="E39" s="781"/>
      <c r="F39" s="782"/>
      <c r="G39" s="547"/>
      <c r="H39" s="551">
        <f>H14-H24</f>
        <v>27285.150000000373</v>
      </c>
      <c r="I39" s="551">
        <f>I14-I24</f>
        <v>0</v>
      </c>
      <c r="J39" s="551">
        <f>J14-J24</f>
        <v>0</v>
      </c>
      <c r="K39" s="551">
        <f>K14-K24</f>
        <v>27285.150000000373</v>
      </c>
    </row>
    <row r="40" spans="1:11" ht="15.75">
      <c r="A40" s="547" t="s">
        <v>368</v>
      </c>
      <c r="B40" s="547" t="s">
        <v>480</v>
      </c>
      <c r="C40" s="799" t="s">
        <v>480</v>
      </c>
      <c r="D40" s="781"/>
      <c r="E40" s="781"/>
      <c r="F40" s="782"/>
      <c r="G40" s="547"/>
      <c r="H40" s="551">
        <f>H41-H42-H43</f>
        <v>-2462.3600000000006</v>
      </c>
      <c r="I40" s="551">
        <f>I41-I42-I43</f>
        <v>0</v>
      </c>
      <c r="J40" s="551">
        <f>J41-J42-J43</f>
        <v>0</v>
      </c>
      <c r="K40" s="551">
        <f>K41-K42-K43</f>
        <v>-2462.3600000000006</v>
      </c>
    </row>
    <row r="41" spans="1:11" ht="15.75">
      <c r="A41" s="519" t="s">
        <v>481</v>
      </c>
      <c r="B41" s="517" t="s">
        <v>482</v>
      </c>
      <c r="C41" s="783" t="s">
        <v>483</v>
      </c>
      <c r="D41" s="784"/>
      <c r="E41" s="784"/>
      <c r="F41" s="785"/>
      <c r="G41" s="519"/>
      <c r="H41" s="559">
        <f>VRA!I48</f>
        <v>12934</v>
      </c>
      <c r="I41" s="554"/>
      <c r="J41" s="554"/>
      <c r="K41" s="558">
        <f aca="true" t="shared" si="1" ref="K41:K46">H41+I41+J41</f>
        <v>12934</v>
      </c>
    </row>
    <row r="42" spans="1:11" ht="15.75">
      <c r="A42" s="519" t="s">
        <v>314</v>
      </c>
      <c r="B42" s="517" t="s">
        <v>484</v>
      </c>
      <c r="C42" s="783" t="s">
        <v>484</v>
      </c>
      <c r="D42" s="784"/>
      <c r="E42" s="784"/>
      <c r="F42" s="785"/>
      <c r="G42" s="519"/>
      <c r="H42" s="559">
        <f>VRA!I49</f>
        <v>0</v>
      </c>
      <c r="I42" s="554"/>
      <c r="J42" s="554"/>
      <c r="K42" s="558">
        <f t="shared" si="1"/>
        <v>0</v>
      </c>
    </row>
    <row r="43" spans="1:11" ht="15.75">
      <c r="A43" s="519" t="s">
        <v>485</v>
      </c>
      <c r="B43" s="517" t="s">
        <v>486</v>
      </c>
      <c r="C43" s="783" t="s">
        <v>487</v>
      </c>
      <c r="D43" s="784"/>
      <c r="E43" s="784"/>
      <c r="F43" s="785"/>
      <c r="G43" s="519"/>
      <c r="H43" s="559">
        <f>VRA!I50</f>
        <v>15396.36</v>
      </c>
      <c r="I43" s="554"/>
      <c r="J43" s="554"/>
      <c r="K43" s="558">
        <f t="shared" si="1"/>
        <v>15396.36</v>
      </c>
    </row>
    <row r="44" spans="1:11" ht="15.75">
      <c r="A44" s="515" t="s">
        <v>375</v>
      </c>
      <c r="B44" s="518" t="s">
        <v>488</v>
      </c>
      <c r="C44" s="790" t="s">
        <v>488</v>
      </c>
      <c r="D44" s="791"/>
      <c r="E44" s="791"/>
      <c r="F44" s="792"/>
      <c r="G44" s="515"/>
      <c r="H44" s="560">
        <f>VRA!I51</f>
        <v>0</v>
      </c>
      <c r="I44" s="553"/>
      <c r="J44" s="553"/>
      <c r="K44" s="552">
        <f t="shared" si="1"/>
        <v>0</v>
      </c>
    </row>
    <row r="45" spans="1:11" ht="30" customHeight="1">
      <c r="A45" s="515" t="s">
        <v>401</v>
      </c>
      <c r="B45" s="518" t="s">
        <v>489</v>
      </c>
      <c r="C45" s="787" t="s">
        <v>489</v>
      </c>
      <c r="D45" s="788"/>
      <c r="E45" s="788"/>
      <c r="F45" s="789"/>
      <c r="G45" s="515"/>
      <c r="H45" s="560">
        <f>VRA!I52</f>
        <v>0</v>
      </c>
      <c r="I45" s="553"/>
      <c r="J45" s="553"/>
      <c r="K45" s="552">
        <f t="shared" si="1"/>
        <v>0</v>
      </c>
    </row>
    <row r="46" spans="1:11" ht="15.75">
      <c r="A46" s="515" t="s">
        <v>413</v>
      </c>
      <c r="B46" s="518" t="s">
        <v>490</v>
      </c>
      <c r="C46" s="790" t="s">
        <v>490</v>
      </c>
      <c r="D46" s="791"/>
      <c r="E46" s="791"/>
      <c r="F46" s="792"/>
      <c r="G46" s="515"/>
      <c r="H46" s="560">
        <f>VRA!I53</f>
        <v>0</v>
      </c>
      <c r="I46" s="553"/>
      <c r="J46" s="553"/>
      <c r="K46" s="552">
        <f t="shared" si="1"/>
        <v>0</v>
      </c>
    </row>
    <row r="47" spans="1:11" ht="30" customHeight="1">
      <c r="A47" s="547" t="s">
        <v>491</v>
      </c>
      <c r="B47" s="547" t="s">
        <v>492</v>
      </c>
      <c r="C47" s="793" t="s">
        <v>492</v>
      </c>
      <c r="D47" s="794"/>
      <c r="E47" s="794"/>
      <c r="F47" s="795"/>
      <c r="G47" s="547"/>
      <c r="H47" s="551">
        <f>H39+H40+H44+H45+H46</f>
        <v>24822.790000000372</v>
      </c>
      <c r="I47" s="551">
        <f>I39+I40+I44+I45+I46</f>
        <v>0</v>
      </c>
      <c r="J47" s="551">
        <f>J39+J40+J44+J45+J46</f>
        <v>0</v>
      </c>
      <c r="K47" s="551">
        <f>K39+K40+K44+K45+K46</f>
        <v>24822.790000000372</v>
      </c>
    </row>
    <row r="48" spans="1:11" ht="15.75">
      <c r="A48" s="515" t="s">
        <v>302</v>
      </c>
      <c r="B48" s="515" t="s">
        <v>493</v>
      </c>
      <c r="C48" s="796" t="s">
        <v>493</v>
      </c>
      <c r="D48" s="791"/>
      <c r="E48" s="791"/>
      <c r="F48" s="792"/>
      <c r="G48" s="515"/>
      <c r="H48" s="560">
        <f>VRA!I55</f>
        <v>0</v>
      </c>
      <c r="I48" s="553"/>
      <c r="J48" s="553"/>
      <c r="K48" s="552">
        <f>H48+I48+J48</f>
        <v>0</v>
      </c>
    </row>
    <row r="49" spans="1:11" ht="15.75">
      <c r="A49" s="547" t="s">
        <v>494</v>
      </c>
      <c r="B49" s="557" t="s">
        <v>495</v>
      </c>
      <c r="C49" s="780" t="s">
        <v>495</v>
      </c>
      <c r="D49" s="781"/>
      <c r="E49" s="781"/>
      <c r="F49" s="782"/>
      <c r="G49" s="547"/>
      <c r="H49" s="551">
        <f>H47+H48</f>
        <v>24822.790000000372</v>
      </c>
      <c r="I49" s="551">
        <f>I47+I48</f>
        <v>0</v>
      </c>
      <c r="J49" s="551">
        <f>J47+J48</f>
        <v>0</v>
      </c>
      <c r="K49" s="551">
        <f>K47+K48</f>
        <v>24822.790000000372</v>
      </c>
    </row>
    <row r="50" spans="1:11" ht="15.75">
      <c r="A50" s="519" t="s">
        <v>302</v>
      </c>
      <c r="B50" s="517" t="s">
        <v>496</v>
      </c>
      <c r="C50" s="783" t="s">
        <v>496</v>
      </c>
      <c r="D50" s="784"/>
      <c r="E50" s="784"/>
      <c r="F50" s="785"/>
      <c r="G50" s="519"/>
      <c r="H50" s="559">
        <f>VRA!I57</f>
        <v>0</v>
      </c>
      <c r="I50" s="554"/>
      <c r="J50" s="554"/>
      <c r="K50" s="558">
        <f>H50+I50+J50</f>
        <v>0</v>
      </c>
    </row>
    <row r="51" spans="1:11" ht="15.75">
      <c r="A51" s="519" t="s">
        <v>314</v>
      </c>
      <c r="B51" s="517" t="s">
        <v>497</v>
      </c>
      <c r="C51" s="783" t="s">
        <v>497</v>
      </c>
      <c r="D51" s="784"/>
      <c r="E51" s="784"/>
      <c r="F51" s="785"/>
      <c r="G51" s="519"/>
      <c r="H51" s="559">
        <f>VRA!I58</f>
        <v>0</v>
      </c>
      <c r="I51" s="554"/>
      <c r="J51" s="554"/>
      <c r="K51" s="558">
        <f>H51+I51+J51</f>
        <v>0</v>
      </c>
    </row>
    <row r="52" spans="1:11" ht="7.5" customHeight="1">
      <c r="A52" s="520"/>
      <c r="B52" s="520"/>
      <c r="C52" s="520"/>
      <c r="D52" s="520"/>
      <c r="G52" s="556"/>
      <c r="H52" s="556"/>
      <c r="I52" s="556"/>
      <c r="J52" s="556"/>
      <c r="K52" s="556"/>
    </row>
    <row r="53" spans="1:11" ht="12.75">
      <c r="A53" s="786"/>
      <c r="B53" s="786"/>
      <c r="C53" s="786"/>
      <c r="D53" s="786"/>
      <c r="E53" s="786"/>
      <c r="F53" s="786"/>
      <c r="G53" s="786"/>
      <c r="H53" s="786"/>
      <c r="I53" s="786"/>
      <c r="J53" s="786"/>
      <c r="K53" s="786"/>
    </row>
    <row r="54" spans="1:11" ht="15.75">
      <c r="A54" s="778" t="s">
        <v>284</v>
      </c>
      <c r="B54" s="778"/>
      <c r="C54" s="778"/>
      <c r="D54" s="778"/>
      <c r="E54" s="778"/>
      <c r="F54" s="778"/>
      <c r="G54" s="779"/>
      <c r="H54" s="779"/>
      <c r="I54" s="779"/>
      <c r="J54" s="779"/>
      <c r="K54" s="779"/>
    </row>
  </sheetData>
  <sheetProtection/>
  <mergeCells count="54">
    <mergeCell ref="G1:K1"/>
    <mergeCell ref="G2:K3"/>
    <mergeCell ref="A6:K7"/>
    <mergeCell ref="A8:K8"/>
    <mergeCell ref="A9:K9"/>
    <mergeCell ref="A10:K10"/>
    <mergeCell ref="A11:B12"/>
    <mergeCell ref="C11:F12"/>
    <mergeCell ref="G11:G12"/>
    <mergeCell ref="H11:H12"/>
    <mergeCell ref="I11:J11"/>
    <mergeCell ref="K11:K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A54:F54"/>
    <mergeCell ref="G54:K54"/>
    <mergeCell ref="C49:F49"/>
    <mergeCell ref="C50:F50"/>
    <mergeCell ref="C51:F51"/>
    <mergeCell ref="A53:K53"/>
  </mergeCells>
  <printOptions/>
  <pageMargins left="0.31496062992125984" right="0.11811023622047245" top="0.35433070866141736"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61"/>
  <sheetViews>
    <sheetView zoomScalePageLayoutView="0" workbookViewId="0" topLeftCell="A13">
      <selection activeCell="G43" sqref="G43"/>
    </sheetView>
  </sheetViews>
  <sheetFormatPr defaultColWidth="9.140625" defaultRowHeight="12.75"/>
  <cols>
    <col min="1" max="1" width="5.57421875" style="78" customWidth="1"/>
    <col min="2" max="2" width="0" style="78" hidden="1" customWidth="1"/>
    <col min="3" max="3" width="30.140625" style="78" customWidth="1"/>
    <col min="4" max="4" width="18.28125" style="78" customWidth="1"/>
    <col min="5" max="5" width="0" style="78" hidden="1" customWidth="1"/>
    <col min="6" max="6" width="11.7109375" style="78" customWidth="1"/>
    <col min="7" max="7" width="8.57421875" style="78" customWidth="1"/>
    <col min="8" max="8" width="14.57421875" style="78" customWidth="1"/>
    <col min="9" max="9" width="13.140625" style="78" customWidth="1"/>
    <col min="10" max="16384" width="9.140625" style="78" customWidth="1"/>
  </cols>
  <sheetData>
    <row r="1" spans="7:8" ht="12.75">
      <c r="G1" s="68"/>
      <c r="H1" s="68"/>
    </row>
    <row r="2" spans="4:9" ht="15.75">
      <c r="D2" s="69"/>
      <c r="G2" s="78" t="s">
        <v>418</v>
      </c>
      <c r="H2" s="70"/>
      <c r="I2" s="70"/>
    </row>
    <row r="3" spans="7:9" ht="15.75">
      <c r="G3" s="78" t="s">
        <v>246</v>
      </c>
      <c r="H3" s="70"/>
      <c r="I3" s="70"/>
    </row>
    <row r="5" spans="1:9" ht="15.75">
      <c r="A5" s="613" t="s">
        <v>419</v>
      </c>
      <c r="B5" s="613"/>
      <c r="C5" s="613"/>
      <c r="D5" s="613"/>
      <c r="E5" s="613"/>
      <c r="F5" s="613"/>
      <c r="G5" s="613"/>
      <c r="H5" s="613"/>
      <c r="I5" s="613"/>
    </row>
    <row r="6" spans="1:9" ht="15.75">
      <c r="A6" s="614" t="s">
        <v>420</v>
      </c>
      <c r="B6" s="614"/>
      <c r="C6" s="614"/>
      <c r="D6" s="614"/>
      <c r="E6" s="614"/>
      <c r="F6" s="614"/>
      <c r="G6" s="614"/>
      <c r="H6" s="614"/>
      <c r="I6" s="614"/>
    </row>
    <row r="7" spans="1:9" ht="23.25" customHeight="1">
      <c r="A7" s="607" t="s">
        <v>285</v>
      </c>
      <c r="B7" s="607"/>
      <c r="C7" s="607"/>
      <c r="D7" s="607"/>
      <c r="E7" s="607"/>
      <c r="F7" s="607"/>
      <c r="G7" s="607"/>
      <c r="H7" s="607"/>
      <c r="I7" s="607"/>
    </row>
    <row r="8" spans="1:9" ht="15">
      <c r="A8" s="612" t="s">
        <v>421</v>
      </c>
      <c r="B8" s="612"/>
      <c r="C8" s="612"/>
      <c r="D8" s="612"/>
      <c r="E8" s="612"/>
      <c r="F8" s="612"/>
      <c r="G8" s="612"/>
      <c r="H8" s="612"/>
      <c r="I8" s="612"/>
    </row>
    <row r="9" spans="1:9" ht="23.25" customHeight="1">
      <c r="A9" s="608" t="s">
        <v>286</v>
      </c>
      <c r="B9" s="608"/>
      <c r="C9" s="608"/>
      <c r="D9" s="608"/>
      <c r="E9" s="608"/>
      <c r="F9" s="608"/>
      <c r="G9" s="608"/>
      <c r="H9" s="608"/>
      <c r="I9" s="608"/>
    </row>
    <row r="10" spans="1:9" ht="15">
      <c r="A10" s="612" t="s">
        <v>422</v>
      </c>
      <c r="B10" s="612"/>
      <c r="C10" s="612"/>
      <c r="D10" s="612"/>
      <c r="E10" s="612"/>
      <c r="F10" s="612"/>
      <c r="G10" s="612"/>
      <c r="H10" s="612"/>
      <c r="I10" s="612"/>
    </row>
    <row r="11" spans="1:9" ht="15">
      <c r="A11" s="612" t="s">
        <v>423</v>
      </c>
      <c r="B11" s="612"/>
      <c r="C11" s="612"/>
      <c r="D11" s="612"/>
      <c r="E11" s="612"/>
      <c r="F11" s="612"/>
      <c r="G11" s="612"/>
      <c r="H11" s="612"/>
      <c r="I11" s="612"/>
    </row>
    <row r="12" spans="1:9" ht="15">
      <c r="A12" s="609"/>
      <c r="B12" s="609"/>
      <c r="C12" s="609"/>
      <c r="D12" s="609"/>
      <c r="E12" s="609"/>
      <c r="F12" s="609"/>
      <c r="G12" s="609"/>
      <c r="H12" s="609"/>
      <c r="I12" s="609"/>
    </row>
    <row r="13" spans="1:9" ht="14.25">
      <c r="A13" s="611" t="s">
        <v>424</v>
      </c>
      <c r="B13" s="611"/>
      <c r="C13" s="611"/>
      <c r="D13" s="611"/>
      <c r="E13" s="611"/>
      <c r="F13" s="611"/>
      <c r="G13" s="611"/>
      <c r="H13" s="611"/>
      <c r="I13" s="611"/>
    </row>
    <row r="14" spans="1:9" ht="15">
      <c r="A14" s="612"/>
      <c r="B14" s="612"/>
      <c r="C14" s="612"/>
      <c r="D14" s="612"/>
      <c r="E14" s="612"/>
      <c r="F14" s="612"/>
      <c r="G14" s="612"/>
      <c r="H14" s="612"/>
      <c r="I14" s="612"/>
    </row>
    <row r="15" spans="1:9" ht="14.25">
      <c r="A15" s="611" t="s">
        <v>287</v>
      </c>
      <c r="B15" s="611"/>
      <c r="C15" s="611"/>
      <c r="D15" s="611"/>
      <c r="E15" s="611"/>
      <c r="F15" s="611"/>
      <c r="G15" s="611"/>
      <c r="H15" s="611"/>
      <c r="I15" s="611"/>
    </row>
    <row r="16" spans="1:9" ht="9.75" customHeight="1">
      <c r="A16" s="212"/>
      <c r="B16" s="163"/>
      <c r="C16" s="163"/>
      <c r="D16" s="163"/>
      <c r="E16" s="163"/>
      <c r="F16" s="163"/>
      <c r="G16" s="163"/>
      <c r="H16" s="163"/>
      <c r="I16" s="163"/>
    </row>
    <row r="17" spans="1:9" ht="15">
      <c r="A17" s="612" t="s">
        <v>288</v>
      </c>
      <c r="B17" s="612"/>
      <c r="C17" s="612"/>
      <c r="D17" s="612"/>
      <c r="E17" s="612"/>
      <c r="F17" s="612"/>
      <c r="G17" s="612"/>
      <c r="H17" s="612"/>
      <c r="I17" s="612"/>
    </row>
    <row r="18" spans="1:9" ht="15">
      <c r="A18" s="612" t="s">
        <v>293</v>
      </c>
      <c r="B18" s="612"/>
      <c r="C18" s="612"/>
      <c r="D18" s="612"/>
      <c r="E18" s="612"/>
      <c r="F18" s="612"/>
      <c r="G18" s="612"/>
      <c r="H18" s="612"/>
      <c r="I18" s="612"/>
    </row>
    <row r="19" spans="1:9" s="163" customFormat="1" ht="15" customHeight="1">
      <c r="A19" s="600" t="s">
        <v>294</v>
      </c>
      <c r="B19" s="600"/>
      <c r="C19" s="600"/>
      <c r="D19" s="600"/>
      <c r="E19" s="600"/>
      <c r="F19" s="600"/>
      <c r="G19" s="600"/>
      <c r="H19" s="600"/>
      <c r="I19" s="600"/>
    </row>
    <row r="20" spans="1:9" s="77" customFormat="1" ht="49.5" customHeight="1">
      <c r="A20" s="601" t="s">
        <v>295</v>
      </c>
      <c r="B20" s="601"/>
      <c r="C20" s="601" t="s">
        <v>296</v>
      </c>
      <c r="D20" s="601"/>
      <c r="E20" s="601"/>
      <c r="F20" s="601"/>
      <c r="G20" s="83" t="s">
        <v>425</v>
      </c>
      <c r="H20" s="71" t="s">
        <v>426</v>
      </c>
      <c r="I20" s="71" t="s">
        <v>427</v>
      </c>
    </row>
    <row r="21" spans="1:9" ht="15.75" customHeight="1">
      <c r="A21" s="309" t="s">
        <v>300</v>
      </c>
      <c r="B21" s="307" t="s">
        <v>428</v>
      </c>
      <c r="C21" s="602" t="s">
        <v>428</v>
      </c>
      <c r="D21" s="602"/>
      <c r="E21" s="602"/>
      <c r="F21" s="602"/>
      <c r="G21" s="307"/>
      <c r="H21" s="406">
        <f>H22+H27+H28</f>
        <v>3427825.04</v>
      </c>
      <c r="I21" s="406">
        <f>I22+I27+I28</f>
        <v>4088773.18</v>
      </c>
    </row>
    <row r="22" spans="1:9" ht="15.75" customHeight="1">
      <c r="A22" s="308" t="s">
        <v>302</v>
      </c>
      <c r="B22" s="313" t="s">
        <v>429</v>
      </c>
      <c r="C22" s="603" t="s">
        <v>429</v>
      </c>
      <c r="D22" s="603"/>
      <c r="E22" s="603"/>
      <c r="F22" s="603"/>
      <c r="G22" s="313"/>
      <c r="H22" s="406">
        <f>H23+H24+H25+H26</f>
        <v>3251193.14</v>
      </c>
      <c r="I22" s="406">
        <f>I23+I24+I25+I26</f>
        <v>3940056.95</v>
      </c>
    </row>
    <row r="23" spans="1:9" ht="15.75" customHeight="1">
      <c r="A23" s="73" t="s">
        <v>430</v>
      </c>
      <c r="B23" s="74" t="s">
        <v>370</v>
      </c>
      <c r="C23" s="604" t="s">
        <v>370</v>
      </c>
      <c r="D23" s="604"/>
      <c r="E23" s="604"/>
      <c r="F23" s="604"/>
      <c r="G23" s="74"/>
      <c r="H23" s="408">
        <f>3984.7+359108.65</f>
        <v>363093.35000000003</v>
      </c>
      <c r="I23" s="407">
        <v>237193.9</v>
      </c>
    </row>
    <row r="24" spans="1:9" ht="15.75" customHeight="1">
      <c r="A24" s="73" t="s">
        <v>431</v>
      </c>
      <c r="B24" s="76" t="s">
        <v>432</v>
      </c>
      <c r="C24" s="610" t="s">
        <v>432</v>
      </c>
      <c r="D24" s="610"/>
      <c r="E24" s="610"/>
      <c r="F24" s="610"/>
      <c r="G24" s="76"/>
      <c r="H24" s="408">
        <f>152628.26+2028751.16+713773.28-2995.17-30034.87</f>
        <v>2862122.66</v>
      </c>
      <c r="I24" s="407">
        <v>3675531.45</v>
      </c>
    </row>
    <row r="25" spans="1:9" ht="15.75" customHeight="1">
      <c r="A25" s="73" t="s">
        <v>433</v>
      </c>
      <c r="B25" s="74" t="s">
        <v>434</v>
      </c>
      <c r="C25" s="610" t="s">
        <v>434</v>
      </c>
      <c r="D25" s="610"/>
      <c r="E25" s="610"/>
      <c r="F25" s="610"/>
      <c r="G25" s="74"/>
      <c r="H25" s="408"/>
      <c r="I25" s="407"/>
    </row>
    <row r="26" spans="1:9" ht="15.75" customHeight="1">
      <c r="A26" s="73" t="s">
        <v>435</v>
      </c>
      <c r="B26" s="76" t="s">
        <v>436</v>
      </c>
      <c r="C26" s="610" t="s">
        <v>436</v>
      </c>
      <c r="D26" s="610"/>
      <c r="E26" s="610"/>
      <c r="F26" s="610"/>
      <c r="G26" s="76"/>
      <c r="H26" s="408">
        <f>2923.92+23053.21</f>
        <v>25977.129999999997</v>
      </c>
      <c r="I26" s="407">
        <v>27331.6</v>
      </c>
    </row>
    <row r="27" spans="1:9" ht="15.75" customHeight="1">
      <c r="A27" s="73" t="s">
        <v>314</v>
      </c>
      <c r="B27" s="74" t="s">
        <v>437</v>
      </c>
      <c r="C27" s="610" t="s">
        <v>437</v>
      </c>
      <c r="D27" s="610"/>
      <c r="E27" s="610"/>
      <c r="F27" s="610"/>
      <c r="G27" s="74"/>
      <c r="H27" s="408"/>
      <c r="I27" s="407"/>
    </row>
    <row r="28" spans="1:9" ht="15.75" customHeight="1">
      <c r="A28" s="308" t="s">
        <v>336</v>
      </c>
      <c r="B28" s="313" t="s">
        <v>438</v>
      </c>
      <c r="C28" s="599" t="s">
        <v>438</v>
      </c>
      <c r="D28" s="599"/>
      <c r="E28" s="599"/>
      <c r="F28" s="599"/>
      <c r="G28" s="313"/>
      <c r="H28" s="406">
        <f>H29-H30</f>
        <v>176631.9</v>
      </c>
      <c r="I28" s="406">
        <f>I29-I30</f>
        <v>148716.23</v>
      </c>
    </row>
    <row r="29" spans="1:9" ht="15.75" customHeight="1">
      <c r="A29" s="73" t="s">
        <v>439</v>
      </c>
      <c r="B29" s="76" t="s">
        <v>440</v>
      </c>
      <c r="C29" s="610" t="s">
        <v>440</v>
      </c>
      <c r="D29" s="610"/>
      <c r="E29" s="610"/>
      <c r="F29" s="610"/>
      <c r="G29" s="76" t="s">
        <v>81</v>
      </c>
      <c r="H29" s="408">
        <f>132452.3+44179.6</f>
        <v>176631.9</v>
      </c>
      <c r="I29" s="407">
        <v>148716.23</v>
      </c>
    </row>
    <row r="30" spans="1:9" ht="15.75" customHeight="1">
      <c r="A30" s="73" t="s">
        <v>441</v>
      </c>
      <c r="B30" s="76" t="s">
        <v>442</v>
      </c>
      <c r="C30" s="610" t="s">
        <v>442</v>
      </c>
      <c r="D30" s="610"/>
      <c r="E30" s="610"/>
      <c r="F30" s="610"/>
      <c r="G30" s="76"/>
      <c r="H30" s="408"/>
      <c r="I30" s="407"/>
    </row>
    <row r="31" spans="1:9" ht="15.75" customHeight="1">
      <c r="A31" s="309" t="s">
        <v>340</v>
      </c>
      <c r="B31" s="307" t="s">
        <v>443</v>
      </c>
      <c r="C31" s="602" t="s">
        <v>443</v>
      </c>
      <c r="D31" s="602"/>
      <c r="E31" s="602"/>
      <c r="F31" s="602"/>
      <c r="G31" s="307" t="s">
        <v>82</v>
      </c>
      <c r="H31" s="406">
        <f>SUM(H32:H45)</f>
        <v>3493095.9400000004</v>
      </c>
      <c r="I31" s="406">
        <f>SUM(I32:I45)</f>
        <v>4061488.03</v>
      </c>
    </row>
    <row r="32" spans="1:9" ht="15.75" customHeight="1">
      <c r="A32" s="73" t="s">
        <v>302</v>
      </c>
      <c r="B32" s="74" t="s">
        <v>444</v>
      </c>
      <c r="C32" s="610" t="s">
        <v>445</v>
      </c>
      <c r="D32" s="610"/>
      <c r="E32" s="610"/>
      <c r="F32" s="610"/>
      <c r="G32" s="74"/>
      <c r="H32" s="409">
        <f>1305244.6+197543.51+1660.36+2627.79+300+463979.93</f>
        <v>1971356.1900000002</v>
      </c>
      <c r="I32" s="407">
        <v>1933119.02</v>
      </c>
    </row>
    <row r="33" spans="1:9" ht="15.75" customHeight="1">
      <c r="A33" s="73" t="s">
        <v>314</v>
      </c>
      <c r="B33" s="74" t="s">
        <v>446</v>
      </c>
      <c r="C33" s="610" t="s">
        <v>447</v>
      </c>
      <c r="D33" s="610"/>
      <c r="E33" s="610"/>
      <c r="F33" s="610"/>
      <c r="G33" s="74"/>
      <c r="H33" s="409">
        <f>33.6+713739.68</f>
        <v>713773.28</v>
      </c>
      <c r="I33" s="407">
        <v>692623.34</v>
      </c>
    </row>
    <row r="34" spans="1:9" ht="15.75" customHeight="1">
      <c r="A34" s="73" t="s">
        <v>336</v>
      </c>
      <c r="B34" s="74" t="s">
        <v>448</v>
      </c>
      <c r="C34" s="610" t="s">
        <v>449</v>
      </c>
      <c r="D34" s="610"/>
      <c r="E34" s="610"/>
      <c r="F34" s="610"/>
      <c r="G34" s="74"/>
      <c r="H34" s="409">
        <f>170359.95+141315.8+21028.71+22010.24</f>
        <v>354714.7</v>
      </c>
      <c r="I34" s="410">
        <v>348827.96</v>
      </c>
    </row>
    <row r="35" spans="1:9" ht="15.75" customHeight="1">
      <c r="A35" s="73" t="s">
        <v>338</v>
      </c>
      <c r="B35" s="74" t="s">
        <v>450</v>
      </c>
      <c r="C35" s="604" t="s">
        <v>451</v>
      </c>
      <c r="D35" s="604"/>
      <c r="E35" s="604"/>
      <c r="F35" s="604"/>
      <c r="G35" s="74"/>
      <c r="H35" s="409">
        <v>1292.5</v>
      </c>
      <c r="I35" s="410">
        <v>766</v>
      </c>
    </row>
    <row r="36" spans="1:9" ht="15.75" customHeight="1">
      <c r="A36" s="73" t="s">
        <v>365</v>
      </c>
      <c r="B36" s="74" t="s">
        <v>452</v>
      </c>
      <c r="C36" s="604" t="s">
        <v>453</v>
      </c>
      <c r="D36" s="604"/>
      <c r="E36" s="604"/>
      <c r="F36" s="604"/>
      <c r="G36" s="74"/>
      <c r="H36" s="409">
        <v>80212.43</v>
      </c>
      <c r="I36" s="410">
        <v>57623.62</v>
      </c>
    </row>
    <row r="37" spans="1:9" ht="15.75" customHeight="1">
      <c r="A37" s="73" t="s">
        <v>454</v>
      </c>
      <c r="B37" s="74" t="s">
        <v>455</v>
      </c>
      <c r="C37" s="604" t="s">
        <v>456</v>
      </c>
      <c r="D37" s="604"/>
      <c r="E37" s="604"/>
      <c r="F37" s="604"/>
      <c r="G37" s="74"/>
      <c r="H37" s="409">
        <v>2256.21</v>
      </c>
      <c r="I37" s="410">
        <v>1145</v>
      </c>
    </row>
    <row r="38" spans="1:9" ht="15.75" customHeight="1">
      <c r="A38" s="73" t="s">
        <v>457</v>
      </c>
      <c r="B38" s="74" t="s">
        <v>458</v>
      </c>
      <c r="C38" s="604" t="s">
        <v>459</v>
      </c>
      <c r="D38" s="604"/>
      <c r="E38" s="604"/>
      <c r="F38" s="604"/>
      <c r="G38" s="74"/>
      <c r="H38" s="409">
        <v>4340</v>
      </c>
      <c r="I38" s="409">
        <v>478.16</v>
      </c>
    </row>
    <row r="39" spans="1:9" ht="15" customHeight="1">
      <c r="A39" s="73" t="s">
        <v>460</v>
      </c>
      <c r="B39" s="74" t="s">
        <v>461</v>
      </c>
      <c r="C39" s="610" t="s">
        <v>461</v>
      </c>
      <c r="D39" s="610"/>
      <c r="E39" s="610"/>
      <c r="F39" s="610"/>
      <c r="G39" s="74"/>
      <c r="H39" s="409"/>
      <c r="I39" s="409"/>
    </row>
    <row r="40" spans="1:9" ht="15" customHeight="1">
      <c r="A40" s="73" t="s">
        <v>462</v>
      </c>
      <c r="B40" s="74" t="s">
        <v>463</v>
      </c>
      <c r="C40" s="604" t="s">
        <v>463</v>
      </c>
      <c r="D40" s="604"/>
      <c r="E40" s="604"/>
      <c r="F40" s="604"/>
      <c r="G40" s="74"/>
      <c r="H40" s="409">
        <f>76107.22+69322.09</f>
        <v>145429.31</v>
      </c>
      <c r="I40" s="409">
        <v>856311.67</v>
      </c>
    </row>
    <row r="41" spans="1:9" ht="15.75" customHeight="1">
      <c r="A41" s="73" t="s">
        <v>464</v>
      </c>
      <c r="B41" s="74" t="s">
        <v>465</v>
      </c>
      <c r="C41" s="610" t="s">
        <v>466</v>
      </c>
      <c r="D41" s="610"/>
      <c r="E41" s="610"/>
      <c r="F41" s="610"/>
      <c r="G41" s="74"/>
      <c r="H41" s="409"/>
      <c r="I41" s="409"/>
    </row>
    <row r="42" spans="1:9" ht="15.75" customHeight="1">
      <c r="A42" s="73" t="s">
        <v>467</v>
      </c>
      <c r="B42" s="74" t="s">
        <v>468</v>
      </c>
      <c r="C42" s="610" t="s">
        <v>469</v>
      </c>
      <c r="D42" s="610"/>
      <c r="E42" s="610"/>
      <c r="F42" s="610"/>
      <c r="G42" s="74" t="s">
        <v>83</v>
      </c>
      <c r="H42" s="409">
        <v>884.76</v>
      </c>
      <c r="I42" s="409">
        <v>884.76</v>
      </c>
    </row>
    <row r="43" spans="1:9" ht="15.75" customHeight="1">
      <c r="A43" s="73" t="s">
        <v>470</v>
      </c>
      <c r="B43" s="74" t="s">
        <v>471</v>
      </c>
      <c r="C43" s="610" t="s">
        <v>472</v>
      </c>
      <c r="D43" s="610"/>
      <c r="E43" s="610"/>
      <c r="F43" s="610"/>
      <c r="G43" s="74"/>
      <c r="H43" s="409"/>
      <c r="I43" s="409"/>
    </row>
    <row r="44" spans="1:9" ht="15.75" customHeight="1">
      <c r="A44" s="73" t="s">
        <v>473</v>
      </c>
      <c r="B44" s="74" t="s">
        <v>474</v>
      </c>
      <c r="C44" s="610" t="s">
        <v>475</v>
      </c>
      <c r="D44" s="610"/>
      <c r="E44" s="610"/>
      <c r="F44" s="610"/>
      <c r="G44" s="74"/>
      <c r="H44" s="409">
        <f>210690.54+503.24+37677.65-30034.87-18.45</f>
        <v>218818.11</v>
      </c>
      <c r="I44" s="409">
        <v>168808.5</v>
      </c>
    </row>
    <row r="45" spans="1:9" ht="15.75" customHeight="1">
      <c r="A45" s="73" t="s">
        <v>476</v>
      </c>
      <c r="B45" s="74" t="s">
        <v>477</v>
      </c>
      <c r="C45" s="587" t="s">
        <v>478</v>
      </c>
      <c r="D45" s="587"/>
      <c r="E45" s="587"/>
      <c r="F45" s="587"/>
      <c r="G45" s="74"/>
      <c r="H45" s="562">
        <v>18.45</v>
      </c>
      <c r="I45" s="409">
        <v>900</v>
      </c>
    </row>
    <row r="46" spans="1:9" ht="15.75" customHeight="1">
      <c r="A46" s="307" t="s">
        <v>342</v>
      </c>
      <c r="B46" s="306" t="s">
        <v>479</v>
      </c>
      <c r="C46" s="588" t="s">
        <v>479</v>
      </c>
      <c r="D46" s="588"/>
      <c r="E46" s="588"/>
      <c r="F46" s="588"/>
      <c r="G46" s="306"/>
      <c r="H46" s="406">
        <f>H21-H31</f>
        <v>-65270.90000000037</v>
      </c>
      <c r="I46" s="406">
        <f>I21-I31</f>
        <v>27285.150000000373</v>
      </c>
    </row>
    <row r="47" spans="1:9" ht="15.75" customHeight="1">
      <c r="A47" s="307" t="s">
        <v>368</v>
      </c>
      <c r="B47" s="307" t="s">
        <v>480</v>
      </c>
      <c r="C47" s="589" t="s">
        <v>480</v>
      </c>
      <c r="D47" s="589"/>
      <c r="E47" s="589"/>
      <c r="F47" s="589"/>
      <c r="G47" s="307"/>
      <c r="H47" s="406">
        <f>H48-H49-H50</f>
        <v>26773</v>
      </c>
      <c r="I47" s="406">
        <f>I48-I49-I50</f>
        <v>-2462.3600000000006</v>
      </c>
    </row>
    <row r="48" spans="1:9" ht="15.75" customHeight="1">
      <c r="A48" s="76" t="s">
        <v>481</v>
      </c>
      <c r="B48" s="74" t="s">
        <v>482</v>
      </c>
      <c r="C48" s="587" t="s">
        <v>483</v>
      </c>
      <c r="D48" s="587"/>
      <c r="E48" s="587"/>
      <c r="F48" s="587"/>
      <c r="G48" s="76" t="s">
        <v>81</v>
      </c>
      <c r="H48" s="409">
        <v>26773</v>
      </c>
      <c r="I48" s="409">
        <v>12934</v>
      </c>
    </row>
    <row r="49" spans="1:9" ht="15.75" customHeight="1">
      <c r="A49" s="76" t="s">
        <v>314</v>
      </c>
      <c r="B49" s="74" t="s">
        <v>484</v>
      </c>
      <c r="C49" s="587" t="s">
        <v>484</v>
      </c>
      <c r="D49" s="587"/>
      <c r="E49" s="587"/>
      <c r="F49" s="587"/>
      <c r="G49" s="76"/>
      <c r="H49" s="409"/>
      <c r="I49" s="409"/>
    </row>
    <row r="50" spans="1:9" ht="15.75">
      <c r="A50" s="76" t="s">
        <v>485</v>
      </c>
      <c r="B50" s="74" t="s">
        <v>486</v>
      </c>
      <c r="C50" s="587" t="s">
        <v>487</v>
      </c>
      <c r="D50" s="587"/>
      <c r="E50" s="587"/>
      <c r="F50" s="587"/>
      <c r="G50" s="76"/>
      <c r="H50" s="409"/>
      <c r="I50" s="409">
        <v>15396.36</v>
      </c>
    </row>
    <row r="51" spans="1:9" ht="15.75">
      <c r="A51" s="72" t="s">
        <v>375</v>
      </c>
      <c r="B51" s="75" t="s">
        <v>488</v>
      </c>
      <c r="C51" s="605" t="s">
        <v>488</v>
      </c>
      <c r="D51" s="605"/>
      <c r="E51" s="605"/>
      <c r="F51" s="605"/>
      <c r="G51" s="72"/>
      <c r="H51" s="408"/>
      <c r="I51" s="408"/>
    </row>
    <row r="52" spans="1:9" ht="30" customHeight="1">
      <c r="A52" s="72" t="s">
        <v>401</v>
      </c>
      <c r="B52" s="75" t="s">
        <v>489</v>
      </c>
      <c r="C52" s="606" t="s">
        <v>489</v>
      </c>
      <c r="D52" s="606"/>
      <c r="E52" s="606"/>
      <c r="F52" s="606"/>
      <c r="G52" s="72"/>
      <c r="H52" s="408"/>
      <c r="I52" s="408"/>
    </row>
    <row r="53" spans="1:9" ht="15.75">
      <c r="A53" s="72" t="s">
        <v>413</v>
      </c>
      <c r="B53" s="75" t="s">
        <v>490</v>
      </c>
      <c r="C53" s="605" t="s">
        <v>490</v>
      </c>
      <c r="D53" s="605"/>
      <c r="E53" s="605"/>
      <c r="F53" s="605"/>
      <c r="G53" s="72"/>
      <c r="H53" s="408"/>
      <c r="I53" s="408"/>
    </row>
    <row r="54" spans="1:9" ht="30" customHeight="1">
      <c r="A54" s="307" t="s">
        <v>491</v>
      </c>
      <c r="B54" s="307" t="s">
        <v>492</v>
      </c>
      <c r="C54" s="602" t="s">
        <v>492</v>
      </c>
      <c r="D54" s="602"/>
      <c r="E54" s="602"/>
      <c r="F54" s="602"/>
      <c r="G54" s="307"/>
      <c r="H54" s="406">
        <f>H46+H47+H51+H52+H53</f>
        <v>-38497.90000000037</v>
      </c>
      <c r="I54" s="406">
        <f>I46+I47+I51+I52+I53</f>
        <v>24822.790000000372</v>
      </c>
    </row>
    <row r="55" spans="1:9" ht="15.75">
      <c r="A55" s="72" t="s">
        <v>302</v>
      </c>
      <c r="B55" s="72" t="s">
        <v>493</v>
      </c>
      <c r="C55" s="593" t="s">
        <v>493</v>
      </c>
      <c r="D55" s="593"/>
      <c r="E55" s="593"/>
      <c r="F55" s="593"/>
      <c r="G55" s="72"/>
      <c r="H55" s="408"/>
      <c r="I55" s="408"/>
    </row>
    <row r="56" spans="1:9" ht="15.75">
      <c r="A56" s="307" t="s">
        <v>494</v>
      </c>
      <c r="B56" s="306" t="s">
        <v>495</v>
      </c>
      <c r="C56" s="588" t="s">
        <v>495</v>
      </c>
      <c r="D56" s="588"/>
      <c r="E56" s="588"/>
      <c r="F56" s="588"/>
      <c r="G56" s="307"/>
      <c r="H56" s="406">
        <f>H54+H55</f>
        <v>-38497.90000000037</v>
      </c>
      <c r="I56" s="406">
        <f>I54+I55</f>
        <v>24822.790000000372</v>
      </c>
    </row>
    <row r="57" spans="1:9" ht="15.75">
      <c r="A57" s="76" t="s">
        <v>302</v>
      </c>
      <c r="B57" s="74" t="s">
        <v>496</v>
      </c>
      <c r="C57" s="587" t="s">
        <v>496</v>
      </c>
      <c r="D57" s="587"/>
      <c r="E57" s="587"/>
      <c r="F57" s="587"/>
      <c r="G57" s="76"/>
      <c r="H57" s="409"/>
      <c r="I57" s="409"/>
    </row>
    <row r="58" spans="1:9" ht="15.75">
      <c r="A58" s="76" t="s">
        <v>314</v>
      </c>
      <c r="B58" s="74" t="s">
        <v>497</v>
      </c>
      <c r="C58" s="587" t="s">
        <v>497</v>
      </c>
      <c r="D58" s="587"/>
      <c r="E58" s="587"/>
      <c r="F58" s="587"/>
      <c r="G58" s="76"/>
      <c r="H58" s="409"/>
      <c r="I58" s="409"/>
    </row>
    <row r="59" spans="1:9" ht="12.75">
      <c r="A59" s="77"/>
      <c r="B59" s="77"/>
      <c r="C59" s="77"/>
      <c r="D59" s="77"/>
      <c r="G59" s="167"/>
      <c r="H59" s="167"/>
      <c r="I59" s="167"/>
    </row>
    <row r="60" spans="1:9" ht="20.25" customHeight="1">
      <c r="A60" s="592" t="s">
        <v>690</v>
      </c>
      <c r="B60" s="592"/>
      <c r="C60" s="592"/>
      <c r="D60" s="592"/>
      <c r="E60" s="592"/>
      <c r="F60" s="592"/>
      <c r="G60" s="592"/>
      <c r="H60" s="607" t="s">
        <v>691</v>
      </c>
      <c r="I60" s="607"/>
    </row>
    <row r="61" spans="1:9" s="163" customFormat="1" ht="34.5" customHeight="1">
      <c r="A61" s="590" t="s">
        <v>692</v>
      </c>
      <c r="B61" s="590"/>
      <c r="C61" s="590"/>
      <c r="D61" s="590"/>
      <c r="E61" s="590"/>
      <c r="F61" s="590"/>
      <c r="G61" s="590"/>
      <c r="H61" s="591" t="s">
        <v>417</v>
      </c>
      <c r="I61" s="591"/>
    </row>
  </sheetData>
  <sheetProtection/>
  <mergeCells count="58">
    <mergeCell ref="C53:F53"/>
    <mergeCell ref="C54:F54"/>
    <mergeCell ref="C55:F55"/>
    <mergeCell ref="C56:F56"/>
    <mergeCell ref="A61:G61"/>
    <mergeCell ref="H61:I61"/>
    <mergeCell ref="C57:F57"/>
    <mergeCell ref="C58:F58"/>
    <mergeCell ref="A60:G60"/>
    <mergeCell ref="H60:I60"/>
    <mergeCell ref="C47:F47"/>
    <mergeCell ref="C48:F48"/>
    <mergeCell ref="C49:F49"/>
    <mergeCell ref="C50:F50"/>
    <mergeCell ref="C37:F37"/>
    <mergeCell ref="C38:F38"/>
    <mergeCell ref="C39:F39"/>
    <mergeCell ref="C40:F40"/>
    <mergeCell ref="C33:F33"/>
    <mergeCell ref="C34:F34"/>
    <mergeCell ref="C51:F51"/>
    <mergeCell ref="C52:F52"/>
    <mergeCell ref="C41:F41"/>
    <mergeCell ref="C42:F42"/>
    <mergeCell ref="C43:F43"/>
    <mergeCell ref="C44:F44"/>
    <mergeCell ref="C45:F45"/>
    <mergeCell ref="C46:F46"/>
    <mergeCell ref="C35:F35"/>
    <mergeCell ref="C36:F36"/>
    <mergeCell ref="C23:F23"/>
    <mergeCell ref="C24:F24"/>
    <mergeCell ref="C25:F25"/>
    <mergeCell ref="C26:F26"/>
    <mergeCell ref="C29:F29"/>
    <mergeCell ref="C30:F30"/>
    <mergeCell ref="C31:F31"/>
    <mergeCell ref="C32:F32"/>
    <mergeCell ref="A13:I13"/>
    <mergeCell ref="A14:I14"/>
    <mergeCell ref="C27:F27"/>
    <mergeCell ref="C28:F28"/>
    <mergeCell ref="A18:I18"/>
    <mergeCell ref="A19:I19"/>
    <mergeCell ref="A20:B20"/>
    <mergeCell ref="C20:F20"/>
    <mergeCell ref="C21:F21"/>
    <mergeCell ref="C22:F22"/>
    <mergeCell ref="A15:I15"/>
    <mergeCell ref="A17:I17"/>
    <mergeCell ref="A5:I5"/>
    <mergeCell ref="A6:I6"/>
    <mergeCell ref="A7:I7"/>
    <mergeCell ref="A8:I8"/>
    <mergeCell ref="A9:I9"/>
    <mergeCell ref="A10:I10"/>
    <mergeCell ref="A11:I11"/>
    <mergeCell ref="A12:I12"/>
  </mergeCells>
  <printOptions/>
  <pageMargins left="0.35433070866141736" right="0.75" top="0.5905511811023623" bottom="0.3937007874015748"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M42"/>
  <sheetViews>
    <sheetView zoomScalePageLayoutView="0" workbookViewId="0" topLeftCell="A25">
      <selection activeCell="A39" sqref="A39:IV39"/>
    </sheetView>
  </sheetViews>
  <sheetFormatPr defaultColWidth="9.140625" defaultRowHeight="12.75"/>
  <cols>
    <col min="1" max="1" width="3.28125" style="95" customWidth="1"/>
    <col min="2" max="2" width="26.140625" style="95" customWidth="1"/>
    <col min="3" max="3" width="6.8515625" style="95" customWidth="1"/>
    <col min="4" max="6" width="9.140625" style="95" customWidth="1"/>
    <col min="7" max="7" width="10.140625" style="95" customWidth="1"/>
    <col min="8" max="8" width="9.140625" style="95" customWidth="1"/>
    <col min="9" max="9" width="9.8515625" style="256" customWidth="1"/>
    <col min="10" max="10" width="7.8515625" style="95" customWidth="1"/>
    <col min="11" max="16384" width="9.140625" style="95" customWidth="1"/>
  </cols>
  <sheetData>
    <row r="1" spans="1:10" ht="12.75">
      <c r="A1" s="118"/>
      <c r="B1" s="118"/>
      <c r="C1" s="118"/>
      <c r="D1" s="118"/>
      <c r="E1" s="118"/>
      <c r="F1" s="79"/>
      <c r="H1" s="118"/>
      <c r="I1" s="315"/>
      <c r="J1" s="118"/>
    </row>
    <row r="2" spans="1:10" ht="12.75">
      <c r="A2" s="141"/>
      <c r="B2" s="118"/>
      <c r="C2" s="118"/>
      <c r="D2" s="118"/>
      <c r="E2" s="118"/>
      <c r="F2" s="80" t="s">
        <v>498</v>
      </c>
      <c r="G2" s="118"/>
      <c r="H2" s="118"/>
      <c r="I2" s="315"/>
      <c r="J2" s="118"/>
    </row>
    <row r="3" spans="1:10" ht="12.75">
      <c r="A3" s="118"/>
      <c r="B3" s="118"/>
      <c r="C3" s="81"/>
      <c r="D3" s="81"/>
      <c r="E3" s="118"/>
      <c r="F3" s="80" t="s">
        <v>499</v>
      </c>
      <c r="G3" s="118"/>
      <c r="H3" s="118"/>
      <c r="I3" s="315"/>
      <c r="J3" s="118"/>
    </row>
    <row r="4" spans="1:10" ht="7.5" customHeight="1">
      <c r="A4" s="118"/>
      <c r="B4" s="118"/>
      <c r="C4" s="118"/>
      <c r="D4" s="118"/>
      <c r="E4" s="118"/>
      <c r="F4" s="118"/>
      <c r="G4" s="118"/>
      <c r="H4" s="118"/>
      <c r="I4" s="315"/>
      <c r="J4" s="118"/>
    </row>
    <row r="5" spans="1:13" ht="15.75">
      <c r="A5" s="579" t="s">
        <v>500</v>
      </c>
      <c r="B5" s="579"/>
      <c r="C5" s="579"/>
      <c r="D5" s="579"/>
      <c r="E5" s="579"/>
      <c r="F5" s="579"/>
      <c r="G5" s="579"/>
      <c r="H5" s="579"/>
      <c r="I5" s="579"/>
      <c r="J5" s="579"/>
      <c r="K5" s="316"/>
      <c r="L5" s="316"/>
      <c r="M5" s="316"/>
    </row>
    <row r="6" spans="1:13" ht="4.5" customHeight="1">
      <c r="A6" s="304"/>
      <c r="B6" s="304"/>
      <c r="C6" s="304"/>
      <c r="D6" s="304"/>
      <c r="E6" s="304"/>
      <c r="F6" s="304"/>
      <c r="G6" s="304"/>
      <c r="H6" s="304"/>
      <c r="I6" s="304"/>
      <c r="J6" s="304"/>
      <c r="K6" s="316"/>
      <c r="L6" s="316"/>
      <c r="M6" s="316"/>
    </row>
    <row r="7" spans="1:13" ht="21" customHeight="1">
      <c r="A7" s="580" t="s">
        <v>285</v>
      </c>
      <c r="B7" s="580"/>
      <c r="C7" s="580"/>
      <c r="D7" s="580"/>
      <c r="E7" s="580"/>
      <c r="F7" s="580"/>
      <c r="G7" s="580"/>
      <c r="H7" s="580"/>
      <c r="I7" s="580"/>
      <c r="J7" s="580"/>
      <c r="K7" s="316"/>
      <c r="L7" s="316"/>
      <c r="M7" s="316"/>
    </row>
    <row r="8" spans="1:13" ht="18.75" customHeight="1">
      <c r="A8" s="596" t="s">
        <v>421</v>
      </c>
      <c r="B8" s="596"/>
      <c r="C8" s="596"/>
      <c r="D8" s="596"/>
      <c r="E8" s="596"/>
      <c r="F8" s="596"/>
      <c r="G8" s="596"/>
      <c r="H8" s="596"/>
      <c r="I8" s="596"/>
      <c r="J8" s="596"/>
      <c r="K8" s="257"/>
      <c r="L8" s="257"/>
      <c r="M8" s="257"/>
    </row>
    <row r="9" spans="1:13" ht="15" customHeight="1">
      <c r="A9" s="580" t="s">
        <v>255</v>
      </c>
      <c r="B9" s="580"/>
      <c r="C9" s="580"/>
      <c r="D9" s="580"/>
      <c r="E9" s="580"/>
      <c r="F9" s="580"/>
      <c r="G9" s="580"/>
      <c r="H9" s="580"/>
      <c r="I9" s="580"/>
      <c r="J9" s="580"/>
      <c r="K9" s="316"/>
      <c r="L9" s="316"/>
      <c r="M9" s="316"/>
    </row>
    <row r="10" spans="1:13" ht="27.75" customHeight="1">
      <c r="A10" s="595" t="s">
        <v>501</v>
      </c>
      <c r="B10" s="595"/>
      <c r="C10" s="595"/>
      <c r="D10" s="595"/>
      <c r="E10" s="595"/>
      <c r="F10" s="595"/>
      <c r="G10" s="595"/>
      <c r="H10" s="595"/>
      <c r="I10" s="595"/>
      <c r="J10" s="595"/>
      <c r="K10" s="258"/>
      <c r="L10" s="258"/>
      <c r="M10" s="258"/>
    </row>
    <row r="11" spans="1:13" ht="10.5" customHeight="1">
      <c r="A11" s="581"/>
      <c r="B11" s="581"/>
      <c r="C11" s="581"/>
      <c r="D11" s="581"/>
      <c r="E11" s="581"/>
      <c r="F11" s="581"/>
      <c r="G11" s="581"/>
      <c r="H11" s="581"/>
      <c r="I11" s="581"/>
      <c r="J11" s="581"/>
      <c r="K11" s="258"/>
      <c r="L11" s="258"/>
      <c r="M11" s="258"/>
    </row>
    <row r="12" spans="1:13" ht="14.25" customHeight="1">
      <c r="A12" s="582" t="s">
        <v>502</v>
      </c>
      <c r="B12" s="582"/>
      <c r="C12" s="582"/>
      <c r="D12" s="582"/>
      <c r="E12" s="582"/>
      <c r="F12" s="582"/>
      <c r="G12" s="582"/>
      <c r="H12" s="582"/>
      <c r="I12" s="582"/>
      <c r="J12" s="582"/>
      <c r="K12" s="317"/>
      <c r="L12" s="317"/>
      <c r="M12" s="317"/>
    </row>
    <row r="13" spans="1:13" ht="15.75">
      <c r="A13" s="579" t="s">
        <v>256</v>
      </c>
      <c r="B13" s="579"/>
      <c r="C13" s="579"/>
      <c r="D13" s="579"/>
      <c r="E13" s="579"/>
      <c r="F13" s="579"/>
      <c r="G13" s="579"/>
      <c r="H13" s="579"/>
      <c r="I13" s="579"/>
      <c r="J13" s="579"/>
      <c r="K13" s="316"/>
      <c r="L13" s="316"/>
      <c r="M13" s="316"/>
    </row>
    <row r="14" spans="1:13" ht="6" customHeight="1">
      <c r="A14" s="318"/>
      <c r="B14" s="318"/>
      <c r="C14" s="318"/>
      <c r="D14" s="318"/>
      <c r="E14" s="318"/>
      <c r="F14" s="318"/>
      <c r="G14" s="318"/>
      <c r="H14" s="318"/>
      <c r="I14" s="318"/>
      <c r="J14" s="318"/>
      <c r="K14" s="316"/>
      <c r="L14" s="316"/>
      <c r="M14" s="316"/>
    </row>
    <row r="15" spans="1:13" ht="14.25" customHeight="1">
      <c r="A15" s="597" t="s">
        <v>257</v>
      </c>
      <c r="B15" s="597"/>
      <c r="C15" s="597"/>
      <c r="D15" s="597"/>
      <c r="E15" s="597"/>
      <c r="F15" s="597"/>
      <c r="G15" s="597"/>
      <c r="H15" s="597"/>
      <c r="I15" s="597"/>
      <c r="J15" s="597"/>
      <c r="K15" s="316"/>
      <c r="L15" s="316"/>
      <c r="M15" s="316"/>
    </row>
    <row r="16" spans="1:13" ht="13.5" customHeight="1">
      <c r="A16" s="304"/>
      <c r="B16" s="304"/>
      <c r="C16" s="597" t="s">
        <v>293</v>
      </c>
      <c r="D16" s="597"/>
      <c r="E16" s="597"/>
      <c r="F16" s="304"/>
      <c r="G16" s="304"/>
      <c r="H16" s="304"/>
      <c r="I16" s="304"/>
      <c r="J16" s="304"/>
      <c r="K16" s="316"/>
      <c r="L16" s="316"/>
      <c r="M16" s="316"/>
    </row>
    <row r="17" spans="1:10" ht="9" customHeight="1">
      <c r="A17" s="319"/>
      <c r="B17" s="319"/>
      <c r="C17" s="319"/>
      <c r="D17" s="319"/>
      <c r="E17" s="82" t="s">
        <v>503</v>
      </c>
      <c r="F17" s="320"/>
      <c r="G17" s="320"/>
      <c r="H17" s="320"/>
      <c r="I17" s="303"/>
      <c r="J17" s="320"/>
    </row>
    <row r="18" spans="1:10" ht="13.5" customHeight="1">
      <c r="A18" s="598" t="s">
        <v>295</v>
      </c>
      <c r="B18" s="598" t="s">
        <v>296</v>
      </c>
      <c r="C18" s="598" t="s">
        <v>504</v>
      </c>
      <c r="D18" s="598" t="s">
        <v>505</v>
      </c>
      <c r="E18" s="598"/>
      <c r="F18" s="598"/>
      <c r="G18" s="598"/>
      <c r="H18" s="598"/>
      <c r="I18" s="578" t="s">
        <v>506</v>
      </c>
      <c r="J18" s="598" t="s">
        <v>507</v>
      </c>
    </row>
    <row r="19" spans="1:10" ht="63" customHeight="1">
      <c r="A19" s="598"/>
      <c r="B19" s="598"/>
      <c r="C19" s="598"/>
      <c r="D19" s="83" t="s">
        <v>403</v>
      </c>
      <c r="E19" s="83" t="s">
        <v>405</v>
      </c>
      <c r="F19" s="83" t="s">
        <v>508</v>
      </c>
      <c r="G19" s="83" t="s">
        <v>407</v>
      </c>
      <c r="H19" s="83" t="s">
        <v>408</v>
      </c>
      <c r="I19" s="578"/>
      <c r="J19" s="598"/>
    </row>
    <row r="20" spans="1:10" ht="12.75">
      <c r="A20" s="84">
        <v>1</v>
      </c>
      <c r="B20" s="85">
        <v>2</v>
      </c>
      <c r="C20" s="85">
        <v>3</v>
      </c>
      <c r="D20" s="84">
        <v>4</v>
      </c>
      <c r="E20" s="85">
        <v>5</v>
      </c>
      <c r="F20" s="84">
        <v>6</v>
      </c>
      <c r="G20" s="85">
        <v>7</v>
      </c>
      <c r="H20" s="84">
        <v>8</v>
      </c>
      <c r="I20" s="314">
        <v>9</v>
      </c>
      <c r="J20" s="87">
        <v>10</v>
      </c>
    </row>
    <row r="21" spans="1:10" ht="12.75">
      <c r="A21" s="522" t="s">
        <v>509</v>
      </c>
      <c r="B21" s="523" t="s">
        <v>163</v>
      </c>
      <c r="C21" s="524"/>
      <c r="D21" s="525"/>
      <c r="E21" s="525"/>
      <c r="F21" s="525"/>
      <c r="G21" s="525"/>
      <c r="H21" s="525">
        <v>23381.22</v>
      </c>
      <c r="I21" s="452">
        <f>SUM(D21:H21)</f>
        <v>23381.22</v>
      </c>
      <c r="J21" s="525"/>
    </row>
    <row r="22" spans="1:10" ht="38.25">
      <c r="A22" s="89" t="s">
        <v>510</v>
      </c>
      <c r="B22" s="90" t="s">
        <v>511</v>
      </c>
      <c r="C22" s="88"/>
      <c r="D22" s="412" t="s">
        <v>512</v>
      </c>
      <c r="E22" s="412"/>
      <c r="F22" s="412" t="s">
        <v>512</v>
      </c>
      <c r="G22" s="412" t="s">
        <v>512</v>
      </c>
      <c r="H22" s="412" t="s">
        <v>512</v>
      </c>
      <c r="I22" s="411">
        <f>E22</f>
        <v>0</v>
      </c>
      <c r="J22" s="412" t="s">
        <v>512</v>
      </c>
    </row>
    <row r="23" spans="1:10" ht="38.25">
      <c r="A23" s="89" t="s">
        <v>513</v>
      </c>
      <c r="B23" s="90" t="s">
        <v>514</v>
      </c>
      <c r="C23" s="88"/>
      <c r="D23" s="412" t="s">
        <v>512</v>
      </c>
      <c r="E23" s="412"/>
      <c r="F23" s="412" t="s">
        <v>512</v>
      </c>
      <c r="G23" s="412" t="s">
        <v>512</v>
      </c>
      <c r="H23" s="412" t="s">
        <v>512</v>
      </c>
      <c r="I23" s="411">
        <f>E23</f>
        <v>0</v>
      </c>
      <c r="J23" s="412" t="s">
        <v>512</v>
      </c>
    </row>
    <row r="24" spans="1:10" ht="25.5">
      <c r="A24" s="89" t="s">
        <v>515</v>
      </c>
      <c r="B24" s="90" t="s">
        <v>516</v>
      </c>
      <c r="C24" s="321"/>
      <c r="D24" s="412" t="s">
        <v>512</v>
      </c>
      <c r="E24" s="412"/>
      <c r="F24" s="412" t="s">
        <v>512</v>
      </c>
      <c r="G24" s="412" t="s">
        <v>512</v>
      </c>
      <c r="H24" s="413"/>
      <c r="I24" s="411">
        <f>E24+H24</f>
        <v>0</v>
      </c>
      <c r="J24" s="412" t="s">
        <v>512</v>
      </c>
    </row>
    <row r="25" spans="1:10" ht="12.75">
      <c r="A25" s="89" t="s">
        <v>517</v>
      </c>
      <c r="B25" s="90" t="s">
        <v>518</v>
      </c>
      <c r="C25" s="321"/>
      <c r="D25" s="412" t="s">
        <v>512</v>
      </c>
      <c r="E25" s="412" t="s">
        <v>512</v>
      </c>
      <c r="F25" s="412"/>
      <c r="G25" s="412" t="s">
        <v>512</v>
      </c>
      <c r="H25" s="412" t="s">
        <v>512</v>
      </c>
      <c r="I25" s="411">
        <f>F25</f>
        <v>0</v>
      </c>
      <c r="J25" s="412" t="s">
        <v>512</v>
      </c>
    </row>
    <row r="26" spans="1:10" ht="12.75">
      <c r="A26" s="89" t="s">
        <v>519</v>
      </c>
      <c r="B26" s="90" t="s">
        <v>520</v>
      </c>
      <c r="C26" s="321"/>
      <c r="D26" s="412" t="s">
        <v>512</v>
      </c>
      <c r="E26" s="412" t="s">
        <v>512</v>
      </c>
      <c r="F26" s="412"/>
      <c r="G26" s="412" t="s">
        <v>512</v>
      </c>
      <c r="H26" s="412" t="s">
        <v>512</v>
      </c>
      <c r="I26" s="411">
        <f>F26</f>
        <v>0</v>
      </c>
      <c r="J26" s="412" t="s">
        <v>512</v>
      </c>
    </row>
    <row r="27" spans="1:10" ht="25.5">
      <c r="A27" s="89" t="s">
        <v>521</v>
      </c>
      <c r="B27" s="90" t="s">
        <v>522</v>
      </c>
      <c r="C27" s="321"/>
      <c r="D27" s="412"/>
      <c r="E27" s="412" t="s">
        <v>512</v>
      </c>
      <c r="F27" s="412" t="s">
        <v>512</v>
      </c>
      <c r="G27" s="412" t="s">
        <v>512</v>
      </c>
      <c r="H27" s="412" t="s">
        <v>512</v>
      </c>
      <c r="I27" s="411">
        <f>D27</f>
        <v>0</v>
      </c>
      <c r="J27" s="412"/>
    </row>
    <row r="28" spans="1:10" ht="25.5">
      <c r="A28" s="89" t="s">
        <v>523</v>
      </c>
      <c r="B28" s="90" t="s">
        <v>524</v>
      </c>
      <c r="C28" s="88"/>
      <c r="D28" s="412" t="s">
        <v>512</v>
      </c>
      <c r="E28" s="412" t="s">
        <v>512</v>
      </c>
      <c r="F28" s="412" t="s">
        <v>512</v>
      </c>
      <c r="G28" s="450">
        <f>VRA!I55</f>
        <v>0</v>
      </c>
      <c r="H28" s="450">
        <f>VRA!I54</f>
        <v>24822.790000000372</v>
      </c>
      <c r="I28" s="452">
        <f>G28+H28</f>
        <v>24822.790000000372</v>
      </c>
      <c r="J28" s="450">
        <f>VRA!I58</f>
        <v>0</v>
      </c>
    </row>
    <row r="29" spans="1:10" ht="12.75">
      <c r="A29" s="273" t="s">
        <v>525</v>
      </c>
      <c r="B29" s="322" t="s">
        <v>164</v>
      </c>
      <c r="C29" s="323"/>
      <c r="D29" s="414">
        <f>IF(D21+D27=FBA!G85,D21+D27,0)</f>
        <v>0</v>
      </c>
      <c r="E29" s="414">
        <f>IF(E21+E22+E23+E24=FBA!G87,E21+E22+E23+E24,0)</f>
        <v>0</v>
      </c>
      <c r="F29" s="414">
        <f>IF(F21+F25-F26=FBA!G88,F21+F25-F26,0)</f>
        <v>0</v>
      </c>
      <c r="G29" s="414">
        <f>IF(G21+G28=FBA!G89,G21+G28,0)</f>
        <v>0</v>
      </c>
      <c r="H29" s="414">
        <f>IF(H21+H28=FBA!G90,H21+H28,0)</f>
        <v>48204.01000000037</v>
      </c>
      <c r="I29" s="416">
        <f>IF(I21+I22+I23+I24+I25-I26+I27+I28=FBA!G84,I21+I22+I23+I24+I25-I26+I27+I28,0)</f>
        <v>48204.01000000037</v>
      </c>
      <c r="J29" s="415">
        <f>IF(J21+J27+J28=FBA!G93,J21+J27+J28,0)</f>
        <v>0</v>
      </c>
    </row>
    <row r="30" spans="1:10" ht="38.25">
      <c r="A30" s="89" t="s">
        <v>526</v>
      </c>
      <c r="B30" s="90" t="s">
        <v>511</v>
      </c>
      <c r="C30" s="88"/>
      <c r="D30" s="412" t="s">
        <v>512</v>
      </c>
      <c r="E30" s="412"/>
      <c r="F30" s="412" t="s">
        <v>512</v>
      </c>
      <c r="G30" s="412" t="s">
        <v>512</v>
      </c>
      <c r="H30" s="412" t="s">
        <v>512</v>
      </c>
      <c r="I30" s="411">
        <f>E30</f>
        <v>0</v>
      </c>
      <c r="J30" s="412" t="s">
        <v>512</v>
      </c>
    </row>
    <row r="31" spans="1:10" ht="38.25">
      <c r="A31" s="89" t="s">
        <v>527</v>
      </c>
      <c r="B31" s="90" t="s">
        <v>514</v>
      </c>
      <c r="C31" s="88"/>
      <c r="D31" s="412" t="s">
        <v>512</v>
      </c>
      <c r="E31" s="412"/>
      <c r="F31" s="412" t="s">
        <v>512</v>
      </c>
      <c r="G31" s="412" t="s">
        <v>512</v>
      </c>
      <c r="H31" s="412" t="s">
        <v>512</v>
      </c>
      <c r="I31" s="411">
        <f>E31</f>
        <v>0</v>
      </c>
      <c r="J31" s="412" t="s">
        <v>512</v>
      </c>
    </row>
    <row r="32" spans="1:10" ht="25.5">
      <c r="A32" s="89" t="s">
        <v>528</v>
      </c>
      <c r="B32" s="90" t="s">
        <v>516</v>
      </c>
      <c r="C32" s="88"/>
      <c r="D32" s="412" t="s">
        <v>512</v>
      </c>
      <c r="E32" s="412"/>
      <c r="F32" s="412" t="s">
        <v>512</v>
      </c>
      <c r="G32" s="412" t="s">
        <v>512</v>
      </c>
      <c r="H32" s="413"/>
      <c r="I32" s="411">
        <f>E32+H32</f>
        <v>0</v>
      </c>
      <c r="J32" s="412" t="s">
        <v>512</v>
      </c>
    </row>
    <row r="33" spans="1:10" ht="12.75">
      <c r="A33" s="89" t="s">
        <v>529</v>
      </c>
      <c r="B33" s="90" t="s">
        <v>518</v>
      </c>
      <c r="C33" s="88"/>
      <c r="D33" s="412" t="s">
        <v>512</v>
      </c>
      <c r="E33" s="412" t="s">
        <v>512</v>
      </c>
      <c r="F33" s="412"/>
      <c r="G33" s="412" t="s">
        <v>512</v>
      </c>
      <c r="H33" s="412" t="s">
        <v>512</v>
      </c>
      <c r="I33" s="411">
        <f>F33</f>
        <v>0</v>
      </c>
      <c r="J33" s="412" t="s">
        <v>512</v>
      </c>
    </row>
    <row r="34" spans="1:10" ht="12.75">
      <c r="A34" s="89" t="s">
        <v>530</v>
      </c>
      <c r="B34" s="90" t="s">
        <v>520</v>
      </c>
      <c r="C34" s="88"/>
      <c r="D34" s="412" t="s">
        <v>512</v>
      </c>
      <c r="E34" s="412" t="s">
        <v>512</v>
      </c>
      <c r="F34" s="412"/>
      <c r="G34" s="412" t="s">
        <v>512</v>
      </c>
      <c r="H34" s="412" t="s">
        <v>512</v>
      </c>
      <c r="I34" s="411">
        <f>F34</f>
        <v>0</v>
      </c>
      <c r="J34" s="412" t="s">
        <v>512</v>
      </c>
    </row>
    <row r="35" spans="1:10" ht="25.5">
      <c r="A35" s="89" t="s">
        <v>531</v>
      </c>
      <c r="B35" s="90" t="s">
        <v>532</v>
      </c>
      <c r="C35" s="88"/>
      <c r="D35" s="412"/>
      <c r="E35" s="412" t="s">
        <v>512</v>
      </c>
      <c r="F35" s="412" t="s">
        <v>512</v>
      </c>
      <c r="G35" s="412" t="s">
        <v>512</v>
      </c>
      <c r="H35" s="412" t="s">
        <v>512</v>
      </c>
      <c r="I35" s="411">
        <f>D35</f>
        <v>0</v>
      </c>
      <c r="J35" s="412"/>
    </row>
    <row r="36" spans="1:10" ht="25.5">
      <c r="A36" s="89" t="s">
        <v>533</v>
      </c>
      <c r="B36" s="90" t="s">
        <v>524</v>
      </c>
      <c r="C36" s="88"/>
      <c r="D36" s="412" t="s">
        <v>512</v>
      </c>
      <c r="E36" s="412" t="s">
        <v>512</v>
      </c>
      <c r="F36" s="412" t="s">
        <v>512</v>
      </c>
      <c r="G36" s="414">
        <f>VRA!H55</f>
        <v>0</v>
      </c>
      <c r="H36" s="414">
        <f>VRA!H54</f>
        <v>-38497.90000000037</v>
      </c>
      <c r="I36" s="411">
        <f>G36+H36</f>
        <v>-38497.90000000037</v>
      </c>
      <c r="J36" s="414">
        <f>VRA!H58</f>
        <v>0</v>
      </c>
    </row>
    <row r="37" spans="1:10" ht="15.75" customHeight="1">
      <c r="A37" s="273" t="s">
        <v>534</v>
      </c>
      <c r="B37" s="322" t="s">
        <v>283</v>
      </c>
      <c r="C37" s="323"/>
      <c r="D37" s="415">
        <f>IF(D29+D35=FBA!F85,D29+D35,0)</f>
        <v>0</v>
      </c>
      <c r="E37" s="415">
        <f>IF(E29+E30+E32=FBA!F87,E29+E30+E32,0)</f>
        <v>0</v>
      </c>
      <c r="F37" s="415">
        <f>IF(F29+F33-F34=FBA!F88,F29+F33-F34,0)</f>
        <v>0</v>
      </c>
      <c r="G37" s="415">
        <f>IF(G29+G36=FBA!F89,G29+G36)</f>
        <v>0</v>
      </c>
      <c r="H37" s="415">
        <f>IF(H29+H36=FBA!F90,H29+H36,0)</f>
        <v>9706.11</v>
      </c>
      <c r="I37" s="416">
        <f>IF(I29+I30+I31+I32+I33-I34+I35+I36=FBA!F84,I29+I30+I31+I32+I33-I34+I35+I36,0)</f>
        <v>9706.11</v>
      </c>
      <c r="J37" s="415">
        <f>IF(J29+J35+J36=FBA!F93,J29+J35+J36,0)</f>
        <v>0</v>
      </c>
    </row>
    <row r="38" spans="1:10" ht="7.5" customHeight="1">
      <c r="A38" s="118"/>
      <c r="B38" s="118"/>
      <c r="C38" s="118"/>
      <c r="D38" s="118"/>
      <c r="E38" s="118"/>
      <c r="F38" s="118"/>
      <c r="G38" s="118"/>
      <c r="H38" s="118"/>
      <c r="I38" s="315"/>
      <c r="J38" s="118"/>
    </row>
    <row r="39" spans="1:9" s="78" customFormat="1" ht="20.25" customHeight="1">
      <c r="A39" s="592" t="s">
        <v>254</v>
      </c>
      <c r="B39" s="592"/>
      <c r="C39" s="592"/>
      <c r="D39" s="592"/>
      <c r="E39" s="592"/>
      <c r="F39" s="592"/>
      <c r="G39" s="592"/>
      <c r="H39" s="607" t="s">
        <v>691</v>
      </c>
      <c r="I39" s="607"/>
    </row>
    <row r="40" spans="1:10" ht="30.75" customHeight="1">
      <c r="A40" s="595" t="s">
        <v>535</v>
      </c>
      <c r="B40" s="595"/>
      <c r="C40" s="595"/>
      <c r="D40" s="91"/>
      <c r="E40" s="596" t="s">
        <v>536</v>
      </c>
      <c r="F40" s="596"/>
      <c r="G40" s="118"/>
      <c r="H40" s="596" t="s">
        <v>417</v>
      </c>
      <c r="I40" s="596"/>
      <c r="J40" s="596"/>
    </row>
    <row r="41" spans="1:10" ht="12.75">
      <c r="A41" s="320"/>
      <c r="B41" s="320"/>
      <c r="C41" s="320"/>
      <c r="D41" s="118"/>
      <c r="E41" s="118"/>
      <c r="F41" s="118"/>
      <c r="G41" s="118"/>
      <c r="H41" s="118"/>
      <c r="I41" s="315"/>
      <c r="J41" s="118"/>
    </row>
    <row r="42" spans="1:10" ht="12.75">
      <c r="A42" s="594" t="s">
        <v>537</v>
      </c>
      <c r="B42" s="594"/>
      <c r="C42" s="118"/>
      <c r="D42" s="118"/>
      <c r="E42" s="118"/>
      <c r="F42" s="118"/>
      <c r="G42" s="118"/>
      <c r="H42" s="118"/>
      <c r="I42" s="315"/>
      <c r="J42" s="118"/>
    </row>
  </sheetData>
  <sheetProtection/>
  <mergeCells count="22">
    <mergeCell ref="A10:J10"/>
    <mergeCell ref="A11:J11"/>
    <mergeCell ref="A12:J12"/>
    <mergeCell ref="A13:J13"/>
    <mergeCell ref="A5:J5"/>
    <mergeCell ref="A7:J7"/>
    <mergeCell ref="A8:J8"/>
    <mergeCell ref="A9:J9"/>
    <mergeCell ref="A39:G39"/>
    <mergeCell ref="H39:I39"/>
    <mergeCell ref="A15:J15"/>
    <mergeCell ref="C16:E16"/>
    <mergeCell ref="A18:A19"/>
    <mergeCell ref="B18:B19"/>
    <mergeCell ref="C18:C19"/>
    <mergeCell ref="D18:H18"/>
    <mergeCell ref="I18:I19"/>
    <mergeCell ref="J18:J19"/>
    <mergeCell ref="A42:B42"/>
    <mergeCell ref="A40:C40"/>
    <mergeCell ref="E40:F40"/>
    <mergeCell ref="H40:J40"/>
  </mergeCells>
  <printOptions/>
  <pageMargins left="0.35433070866141736" right="0.75"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13"/>
  <sheetViews>
    <sheetView zoomScalePageLayoutView="0" workbookViewId="0" topLeftCell="A64">
      <selection activeCell="G35" sqref="G35"/>
    </sheetView>
  </sheetViews>
  <sheetFormatPr defaultColWidth="9.140625" defaultRowHeight="12.75"/>
  <cols>
    <col min="1" max="1" width="4.140625" style="4" customWidth="1"/>
    <col min="2" max="3" width="1.28515625" style="5" customWidth="1"/>
    <col min="4" max="4" width="2.7109375" style="5" customWidth="1"/>
    <col min="5" max="5" width="28.00390625" style="5" customWidth="1"/>
    <col min="6" max="6" width="7.7109375" style="2" customWidth="1"/>
    <col min="7" max="7" width="10.140625" style="4" customWidth="1"/>
    <col min="8" max="8" width="12.140625" style="4" customWidth="1"/>
    <col min="9" max="9" width="10.57421875" style="4" customWidth="1"/>
    <col min="10" max="10" width="10.28125" style="4" customWidth="1"/>
    <col min="11" max="11" width="11.7109375" style="4" customWidth="1"/>
    <col min="12" max="12" width="10.7109375" style="4" customWidth="1"/>
    <col min="13" max="16384" width="9.140625" style="4" customWidth="1"/>
  </cols>
  <sheetData>
    <row r="1" spans="1:11" ht="12.75">
      <c r="A1" s="1"/>
      <c r="B1" s="2"/>
      <c r="C1" s="2"/>
      <c r="D1" s="2"/>
      <c r="E1" s="2"/>
      <c r="G1" s="1"/>
      <c r="I1" s="3"/>
      <c r="J1" s="1"/>
      <c r="K1" s="1"/>
    </row>
    <row r="2" spans="7:11" ht="12.75">
      <c r="G2" s="92"/>
      <c r="I2" s="93" t="s">
        <v>538</v>
      </c>
      <c r="J2" s="92"/>
      <c r="K2" s="92"/>
    </row>
    <row r="3" spans="7:11" ht="12.75">
      <c r="G3" s="92"/>
      <c r="I3" s="93" t="s">
        <v>246</v>
      </c>
      <c r="K3" s="92"/>
    </row>
    <row r="5" spans="1:12" ht="12.75" customHeight="1">
      <c r="A5" s="626" t="s">
        <v>539</v>
      </c>
      <c r="B5" s="626"/>
      <c r="C5" s="626"/>
      <c r="D5" s="626"/>
      <c r="E5" s="626"/>
      <c r="F5" s="626"/>
      <c r="G5" s="626"/>
      <c r="H5" s="626"/>
      <c r="I5" s="626"/>
      <c r="J5" s="626"/>
      <c r="K5" s="626"/>
      <c r="L5" s="626"/>
    </row>
    <row r="6" spans="1:12" ht="16.5" customHeight="1">
      <c r="A6" s="626"/>
      <c r="B6" s="626"/>
      <c r="C6" s="626"/>
      <c r="D6" s="626"/>
      <c r="E6" s="626"/>
      <c r="F6" s="626"/>
      <c r="G6" s="626"/>
      <c r="H6" s="626"/>
      <c r="I6" s="626"/>
      <c r="J6" s="626"/>
      <c r="K6" s="626"/>
      <c r="L6" s="626"/>
    </row>
    <row r="7" spans="1:12" ht="12.75" customHeight="1">
      <c r="A7" s="627" t="s">
        <v>285</v>
      </c>
      <c r="B7" s="627"/>
      <c r="C7" s="627"/>
      <c r="D7" s="627"/>
      <c r="E7" s="627"/>
      <c r="F7" s="627"/>
      <c r="G7" s="627"/>
      <c r="H7" s="627"/>
      <c r="I7" s="627"/>
      <c r="J7" s="627"/>
      <c r="K7" s="627"/>
      <c r="L7" s="627"/>
    </row>
    <row r="8" spans="1:12" ht="12.75" customHeight="1">
      <c r="A8" s="621" t="s">
        <v>421</v>
      </c>
      <c r="B8" s="621"/>
      <c r="C8" s="621"/>
      <c r="D8" s="621"/>
      <c r="E8" s="621"/>
      <c r="F8" s="621"/>
      <c r="G8" s="621"/>
      <c r="H8" s="621"/>
      <c r="I8" s="621"/>
      <c r="J8" s="621"/>
      <c r="K8" s="621"/>
      <c r="L8" s="621"/>
    </row>
    <row r="9" spans="1:12" ht="12.75" customHeight="1">
      <c r="A9" s="585" t="s">
        <v>63</v>
      </c>
      <c r="B9" s="585"/>
      <c r="C9" s="585"/>
      <c r="D9" s="585"/>
      <c r="E9" s="585"/>
      <c r="F9" s="585"/>
      <c r="G9" s="585"/>
      <c r="H9" s="585"/>
      <c r="I9" s="585"/>
      <c r="J9" s="585"/>
      <c r="K9" s="585"/>
      <c r="L9" s="585"/>
    </row>
    <row r="10" spans="1:12" ht="12.75" customHeight="1">
      <c r="A10" s="586" t="s">
        <v>540</v>
      </c>
      <c r="B10" s="586"/>
      <c r="C10" s="586"/>
      <c r="D10" s="586"/>
      <c r="E10" s="586"/>
      <c r="F10" s="586"/>
      <c r="G10" s="586"/>
      <c r="H10" s="586"/>
      <c r="I10" s="586"/>
      <c r="J10" s="586"/>
      <c r="K10" s="586"/>
      <c r="L10" s="586"/>
    </row>
    <row r="11" spans="1:12" ht="12.75">
      <c r="A11" s="586"/>
      <c r="B11" s="586"/>
      <c r="C11" s="586"/>
      <c r="D11" s="586"/>
      <c r="E11" s="586"/>
      <c r="F11" s="586"/>
      <c r="G11" s="586"/>
      <c r="H11" s="586"/>
      <c r="I11" s="586"/>
      <c r="J11" s="586"/>
      <c r="K11" s="586"/>
      <c r="L11" s="586"/>
    </row>
    <row r="12" spans="1:6" ht="12.75" customHeight="1">
      <c r="A12" s="623"/>
      <c r="B12" s="623"/>
      <c r="C12" s="623"/>
      <c r="D12" s="623"/>
      <c r="E12" s="623"/>
      <c r="F12" s="623"/>
    </row>
    <row r="13" spans="1:12" ht="15.75" customHeight="1">
      <c r="A13" s="626" t="s">
        <v>541</v>
      </c>
      <c r="B13" s="626"/>
      <c r="C13" s="626"/>
      <c r="D13" s="626"/>
      <c r="E13" s="626"/>
      <c r="F13" s="626"/>
      <c r="G13" s="626"/>
      <c r="H13" s="626"/>
      <c r="I13" s="626"/>
      <c r="J13" s="626"/>
      <c r="K13" s="626"/>
      <c r="L13" s="626"/>
    </row>
    <row r="14" spans="1:12" ht="12.75" customHeight="1">
      <c r="A14" s="626" t="s">
        <v>287</v>
      </c>
      <c r="B14" s="626"/>
      <c r="C14" s="626"/>
      <c r="D14" s="626"/>
      <c r="E14" s="626"/>
      <c r="F14" s="626"/>
      <c r="G14" s="626"/>
      <c r="H14" s="626"/>
      <c r="I14" s="626"/>
      <c r="J14" s="626"/>
      <c r="K14" s="626"/>
      <c r="L14" s="626"/>
    </row>
    <row r="15" spans="1:11" ht="12.75">
      <c r="A15" s="7"/>
      <c r="B15" s="8"/>
      <c r="C15" s="8"/>
      <c r="D15" s="8"/>
      <c r="E15" s="8"/>
      <c r="F15" s="8"/>
      <c r="G15" s="9"/>
      <c r="H15" s="9"/>
      <c r="I15" s="9"/>
      <c r="J15" s="9"/>
      <c r="K15" s="9"/>
    </row>
    <row r="16" spans="1:12" ht="12.75" customHeight="1">
      <c r="A16" s="621" t="s">
        <v>64</v>
      </c>
      <c r="B16" s="621"/>
      <c r="C16" s="621"/>
      <c r="D16" s="621"/>
      <c r="E16" s="621"/>
      <c r="F16" s="621"/>
      <c r="G16" s="621"/>
      <c r="H16" s="621"/>
      <c r="I16" s="621"/>
      <c r="J16" s="621"/>
      <c r="K16" s="621"/>
      <c r="L16" s="621"/>
    </row>
    <row r="17" spans="1:12" ht="12.75" customHeight="1">
      <c r="A17" s="621" t="s">
        <v>293</v>
      </c>
      <c r="B17" s="621"/>
      <c r="C17" s="621"/>
      <c r="D17" s="621"/>
      <c r="E17" s="621"/>
      <c r="F17" s="621"/>
      <c r="G17" s="621"/>
      <c r="H17" s="621"/>
      <c r="I17" s="621"/>
      <c r="J17" s="621"/>
      <c r="K17" s="621"/>
      <c r="L17" s="621"/>
    </row>
    <row r="18" spans="1:12" ht="12.75" customHeight="1">
      <c r="A18" s="7"/>
      <c r="B18" s="10"/>
      <c r="C18" s="10"/>
      <c r="D18" s="10"/>
      <c r="E18" s="10"/>
      <c r="F18" s="628" t="s">
        <v>542</v>
      </c>
      <c r="G18" s="628"/>
      <c r="H18" s="628"/>
      <c r="I18" s="628"/>
      <c r="J18" s="628"/>
      <c r="K18" s="628"/>
      <c r="L18" s="628"/>
    </row>
    <row r="19" spans="1:12" ht="24.75" customHeight="1">
      <c r="A19" s="584" t="s">
        <v>295</v>
      </c>
      <c r="B19" s="615" t="s">
        <v>296</v>
      </c>
      <c r="C19" s="615"/>
      <c r="D19" s="615"/>
      <c r="E19" s="615"/>
      <c r="F19" s="583" t="s">
        <v>297</v>
      </c>
      <c r="G19" s="615" t="s">
        <v>426</v>
      </c>
      <c r="H19" s="615"/>
      <c r="I19" s="615"/>
      <c r="J19" s="615" t="s">
        <v>427</v>
      </c>
      <c r="K19" s="615"/>
      <c r="L19" s="615"/>
    </row>
    <row r="20" spans="1:12" ht="38.25">
      <c r="A20" s="584"/>
      <c r="B20" s="615"/>
      <c r="C20" s="615"/>
      <c r="D20" s="615"/>
      <c r="E20" s="615"/>
      <c r="F20" s="583"/>
      <c r="G20" s="12" t="s">
        <v>543</v>
      </c>
      <c r="H20" s="12" t="s">
        <v>544</v>
      </c>
      <c r="I20" s="330" t="s">
        <v>506</v>
      </c>
      <c r="J20" s="12" t="s">
        <v>543</v>
      </c>
      <c r="K20" s="12" t="s">
        <v>545</v>
      </c>
      <c r="L20" s="330" t="s">
        <v>506</v>
      </c>
    </row>
    <row r="21" spans="1:12" ht="12.75" customHeight="1">
      <c r="A21" s="11">
        <v>1</v>
      </c>
      <c r="B21" s="598">
        <v>2</v>
      </c>
      <c r="C21" s="598"/>
      <c r="D21" s="598"/>
      <c r="E21" s="598"/>
      <c r="F21" s="13" t="s">
        <v>546</v>
      </c>
      <c r="G21" s="12">
        <v>4</v>
      </c>
      <c r="H21" s="12">
        <v>5</v>
      </c>
      <c r="I21" s="259">
        <v>6</v>
      </c>
      <c r="J21" s="94">
        <v>7</v>
      </c>
      <c r="K21" s="94">
        <v>8</v>
      </c>
      <c r="L21" s="331">
        <v>9</v>
      </c>
    </row>
    <row r="22" spans="1:12" s="5" customFormat="1" ht="24.75" customHeight="1">
      <c r="A22" s="259" t="s">
        <v>300</v>
      </c>
      <c r="B22" s="569" t="s">
        <v>547</v>
      </c>
      <c r="C22" s="569"/>
      <c r="D22" s="569"/>
      <c r="E22" s="569"/>
      <c r="F22" s="310"/>
      <c r="G22" s="396">
        <f>G23-G35-G42</f>
        <v>-5769.439999999944</v>
      </c>
      <c r="H22" s="396">
        <f>H23-H35-H42</f>
        <v>0</v>
      </c>
      <c r="I22" s="396">
        <f>G22+H22</f>
        <v>-5769.439999999944</v>
      </c>
      <c r="J22" s="396">
        <f>J23-J35-J42</f>
        <v>4224.590000000317</v>
      </c>
      <c r="K22" s="396">
        <f>K23-K35-K42</f>
        <v>0</v>
      </c>
      <c r="L22" s="396">
        <f>J22+K22</f>
        <v>4224.590000000317</v>
      </c>
    </row>
    <row r="23" spans="1:12" s="5" customFormat="1" ht="12.75" customHeight="1">
      <c r="A23" s="264" t="s">
        <v>302</v>
      </c>
      <c r="B23" s="324" t="s">
        <v>548</v>
      </c>
      <c r="C23" s="325"/>
      <c r="D23" s="266"/>
      <c r="E23" s="267"/>
      <c r="F23" s="310"/>
      <c r="G23" s="396">
        <f>G24+G29+G30+G31+G32+G33+G34</f>
        <v>3034984.53</v>
      </c>
      <c r="H23" s="396">
        <f>H24+H29+H30+H31+H32+H33+H34</f>
        <v>0</v>
      </c>
      <c r="I23" s="396">
        <f aca="true" t="shared" si="0" ref="I23:I83">G23+H23</f>
        <v>3034984.53</v>
      </c>
      <c r="J23" s="396">
        <f>J24+J29+J30+J31+J32+J33+J34</f>
        <v>2750019.36</v>
      </c>
      <c r="K23" s="396">
        <f>K24+K29+K30+K31+K32+K33+K34</f>
        <v>0</v>
      </c>
      <c r="L23" s="396">
        <f aca="true" t="shared" si="1" ref="L23:L83">J23+K23</f>
        <v>2750019.36</v>
      </c>
    </row>
    <row r="24" spans="1:12" s="5" customFormat="1" ht="15.75">
      <c r="A24" s="264" t="s">
        <v>430</v>
      </c>
      <c r="B24" s="326"/>
      <c r="C24" s="327" t="s">
        <v>549</v>
      </c>
      <c r="D24" s="328"/>
      <c r="E24" s="329"/>
      <c r="F24" s="332"/>
      <c r="G24" s="396">
        <f>G25+G26+G27+G28</f>
        <v>2581814.35</v>
      </c>
      <c r="H24" s="396">
        <f>H25+H26+H27+H28</f>
        <v>0</v>
      </c>
      <c r="I24" s="396">
        <f t="shared" si="0"/>
        <v>2581814.35</v>
      </c>
      <c r="J24" s="396">
        <f>J25+J26+J27+J28</f>
        <v>2446813.56</v>
      </c>
      <c r="K24" s="396">
        <f>K25+K26+K27+K28</f>
        <v>0</v>
      </c>
      <c r="L24" s="396">
        <f t="shared" si="1"/>
        <v>2446813.56</v>
      </c>
    </row>
    <row r="25" spans="1:12" s="5" customFormat="1" ht="12.75" customHeight="1">
      <c r="A25" s="19" t="s">
        <v>550</v>
      </c>
      <c r="B25" s="20"/>
      <c r="C25" s="28"/>
      <c r="D25" s="21" t="s">
        <v>551</v>
      </c>
      <c r="E25" s="22"/>
      <c r="F25" s="333"/>
      <c r="G25" s="417">
        <v>363093.35</v>
      </c>
      <c r="H25" s="417"/>
      <c r="I25" s="396">
        <f t="shared" si="0"/>
        <v>363093.35</v>
      </c>
      <c r="J25" s="417">
        <v>230593.9</v>
      </c>
      <c r="K25" s="417"/>
      <c r="L25" s="396">
        <f t="shared" si="1"/>
        <v>230593.9</v>
      </c>
    </row>
    <row r="26" spans="1:12" s="5" customFormat="1" ht="12.75" customHeight="1">
      <c r="A26" s="19" t="s">
        <v>552</v>
      </c>
      <c r="B26" s="20"/>
      <c r="C26" s="28"/>
      <c r="D26" s="21" t="s">
        <v>371</v>
      </c>
      <c r="E26" s="24"/>
      <c r="F26" s="136"/>
      <c r="G26" s="417">
        <f>2195191-3600</f>
        <v>2191591</v>
      </c>
      <c r="H26" s="417"/>
      <c r="I26" s="396">
        <f t="shared" si="0"/>
        <v>2191591</v>
      </c>
      <c r="J26" s="417">
        <v>2192676.74</v>
      </c>
      <c r="K26" s="417"/>
      <c r="L26" s="396">
        <f t="shared" si="1"/>
        <v>2192676.74</v>
      </c>
    </row>
    <row r="27" spans="1:12" s="5" customFormat="1" ht="27" customHeight="1">
      <c r="A27" s="19" t="s">
        <v>553</v>
      </c>
      <c r="B27" s="20"/>
      <c r="C27" s="28"/>
      <c r="D27" s="567" t="s">
        <v>554</v>
      </c>
      <c r="E27" s="567"/>
      <c r="F27" s="136"/>
      <c r="G27" s="417"/>
      <c r="H27" s="417"/>
      <c r="I27" s="396">
        <f t="shared" si="0"/>
        <v>0</v>
      </c>
      <c r="J27" s="417"/>
      <c r="K27" s="417"/>
      <c r="L27" s="396">
        <f t="shared" si="1"/>
        <v>0</v>
      </c>
    </row>
    <row r="28" spans="1:12" s="5" customFormat="1" ht="12.75" customHeight="1">
      <c r="A28" s="19" t="s">
        <v>555</v>
      </c>
      <c r="B28" s="20"/>
      <c r="C28" s="34" t="s">
        <v>374</v>
      </c>
      <c r="D28" s="98"/>
      <c r="E28" s="99"/>
      <c r="F28" s="18"/>
      <c r="G28" s="417">
        <f>27702.5-250-322.5</f>
        <v>27130</v>
      </c>
      <c r="H28" s="417"/>
      <c r="I28" s="396">
        <f t="shared" si="0"/>
        <v>27130</v>
      </c>
      <c r="J28" s="417">
        <v>23542.92</v>
      </c>
      <c r="K28" s="417"/>
      <c r="L28" s="396">
        <f t="shared" si="1"/>
        <v>23542.92</v>
      </c>
    </row>
    <row r="29" spans="1:12" s="5" customFormat="1" ht="12.75" customHeight="1">
      <c r="A29" s="19" t="s">
        <v>431</v>
      </c>
      <c r="B29" s="20"/>
      <c r="C29" s="48" t="s">
        <v>556</v>
      </c>
      <c r="D29" s="100"/>
      <c r="E29" s="99"/>
      <c r="F29" s="18"/>
      <c r="G29" s="417"/>
      <c r="H29" s="417"/>
      <c r="I29" s="396">
        <f t="shared" si="0"/>
        <v>0</v>
      </c>
      <c r="J29" s="417"/>
      <c r="K29" s="417"/>
      <c r="L29" s="396">
        <f t="shared" si="1"/>
        <v>0</v>
      </c>
    </row>
    <row r="30" spans="1:12" s="5" customFormat="1" ht="12.75" customHeight="1">
      <c r="A30" s="47" t="s">
        <v>557</v>
      </c>
      <c r="B30" s="33"/>
      <c r="C30" s="101" t="s">
        <v>558</v>
      </c>
      <c r="D30" s="102"/>
      <c r="E30" s="103"/>
      <c r="F30" s="18"/>
      <c r="G30" s="417"/>
      <c r="H30" s="417"/>
      <c r="I30" s="396">
        <f t="shared" si="0"/>
        <v>0</v>
      </c>
      <c r="J30" s="417"/>
      <c r="K30" s="417"/>
      <c r="L30" s="396">
        <f t="shared" si="1"/>
        <v>0</v>
      </c>
    </row>
    <row r="31" spans="1:12" s="5" customFormat="1" ht="12.75" customHeight="1">
      <c r="A31" s="19" t="s">
        <v>435</v>
      </c>
      <c r="B31" s="20"/>
      <c r="C31" s="96" t="s">
        <v>559</v>
      </c>
      <c r="D31" s="96"/>
      <c r="E31" s="22"/>
      <c r="F31" s="18"/>
      <c r="G31" s="417">
        <v>204373.9</v>
      </c>
      <c r="H31" s="417"/>
      <c r="I31" s="396">
        <f t="shared" si="0"/>
        <v>204373.9</v>
      </c>
      <c r="J31" s="417">
        <v>158613.23</v>
      </c>
      <c r="K31" s="417"/>
      <c r="L31" s="396">
        <f t="shared" si="1"/>
        <v>158613.23</v>
      </c>
    </row>
    <row r="32" spans="1:12" s="5" customFormat="1" ht="12.75" customHeight="1">
      <c r="A32" s="19" t="s">
        <v>560</v>
      </c>
      <c r="B32" s="20"/>
      <c r="C32" s="96" t="s">
        <v>561</v>
      </c>
      <c r="D32" s="104"/>
      <c r="E32" s="105"/>
      <c r="F32" s="18"/>
      <c r="G32" s="417">
        <v>248223.78</v>
      </c>
      <c r="H32" s="417"/>
      <c r="I32" s="396">
        <f t="shared" si="0"/>
        <v>248223.78</v>
      </c>
      <c r="J32" s="417">
        <v>144592.57</v>
      </c>
      <c r="K32" s="417"/>
      <c r="L32" s="396">
        <f t="shared" si="1"/>
        <v>144592.57</v>
      </c>
    </row>
    <row r="33" spans="1:12" s="5" customFormat="1" ht="12.75" customHeight="1">
      <c r="A33" s="19" t="s">
        <v>562</v>
      </c>
      <c r="B33" s="20"/>
      <c r="C33" s="96" t="s">
        <v>563</v>
      </c>
      <c r="D33" s="96"/>
      <c r="E33" s="22"/>
      <c r="F33" s="18"/>
      <c r="G33" s="417"/>
      <c r="H33" s="417"/>
      <c r="I33" s="396">
        <f t="shared" si="0"/>
        <v>0</v>
      </c>
      <c r="J33" s="417"/>
      <c r="K33" s="417"/>
      <c r="L33" s="396">
        <f t="shared" si="1"/>
        <v>0</v>
      </c>
    </row>
    <row r="34" spans="1:12" s="5" customFormat="1" ht="12.75" customHeight="1">
      <c r="A34" s="19" t="s">
        <v>564</v>
      </c>
      <c r="B34" s="20"/>
      <c r="C34" s="96" t="s">
        <v>565</v>
      </c>
      <c r="D34" s="96"/>
      <c r="E34" s="22"/>
      <c r="F34" s="18"/>
      <c r="G34" s="417">
        <f>250+322.5</f>
        <v>572.5</v>
      </c>
      <c r="H34" s="417"/>
      <c r="I34" s="396">
        <f t="shared" si="0"/>
        <v>572.5</v>
      </c>
      <c r="J34" s="417"/>
      <c r="K34" s="417"/>
      <c r="L34" s="396">
        <f t="shared" si="1"/>
        <v>0</v>
      </c>
    </row>
    <row r="35" spans="1:12" s="5" customFormat="1" ht="12.75" customHeight="1">
      <c r="A35" s="264" t="s">
        <v>314</v>
      </c>
      <c r="B35" s="269" t="s">
        <v>566</v>
      </c>
      <c r="C35" s="270"/>
      <c r="D35" s="270"/>
      <c r="E35" s="271"/>
      <c r="F35" s="264"/>
      <c r="G35" s="396">
        <f>G36+G37+G38+G39+G40+G41</f>
        <v>224882.5</v>
      </c>
      <c r="H35" s="396">
        <f>H36+H37+H38+H39+H40+H41</f>
        <v>0</v>
      </c>
      <c r="I35" s="396">
        <f t="shared" si="0"/>
        <v>224882.5</v>
      </c>
      <c r="J35" s="396">
        <f>J36+J37+J38+J39+J40+J41</f>
        <v>167338.65</v>
      </c>
      <c r="K35" s="396">
        <f>K36+K37+K38+K39+K40+K41</f>
        <v>0</v>
      </c>
      <c r="L35" s="396">
        <f t="shared" si="1"/>
        <v>167338.65</v>
      </c>
    </row>
    <row r="36" spans="1:12" s="5" customFormat="1" ht="12.75" customHeight="1">
      <c r="A36" s="19" t="s">
        <v>316</v>
      </c>
      <c r="B36" s="20"/>
      <c r="C36" s="21" t="s">
        <v>567</v>
      </c>
      <c r="D36" s="21"/>
      <c r="E36" s="24"/>
      <c r="F36" s="136"/>
      <c r="G36" s="417"/>
      <c r="H36" s="417"/>
      <c r="I36" s="396">
        <f t="shared" si="0"/>
        <v>0</v>
      </c>
      <c r="J36" s="417"/>
      <c r="K36" s="417"/>
      <c r="L36" s="396">
        <f t="shared" si="1"/>
        <v>0</v>
      </c>
    </row>
    <row r="37" spans="1:12" s="5" customFormat="1" ht="12.75" customHeight="1">
      <c r="A37" s="19" t="s">
        <v>318</v>
      </c>
      <c r="B37" s="20"/>
      <c r="C37" s="21" t="s">
        <v>568</v>
      </c>
      <c r="D37" s="21"/>
      <c r="E37" s="24"/>
      <c r="F37" s="136"/>
      <c r="G37" s="417">
        <f>204373.9+12043.79+8464.81</f>
        <v>224882.5</v>
      </c>
      <c r="H37" s="417"/>
      <c r="I37" s="396">
        <f t="shared" si="0"/>
        <v>224882.5</v>
      </c>
      <c r="J37" s="417">
        <v>167338.65</v>
      </c>
      <c r="K37" s="417"/>
      <c r="L37" s="396">
        <f t="shared" si="1"/>
        <v>167338.65</v>
      </c>
    </row>
    <row r="38" spans="1:12" s="5" customFormat="1" ht="24.75" customHeight="1">
      <c r="A38" s="19" t="s">
        <v>569</v>
      </c>
      <c r="B38" s="20"/>
      <c r="C38" s="567" t="s">
        <v>570</v>
      </c>
      <c r="D38" s="567"/>
      <c r="E38" s="567"/>
      <c r="F38" s="136"/>
      <c r="G38" s="417"/>
      <c r="H38" s="417"/>
      <c r="I38" s="396">
        <f t="shared" si="0"/>
        <v>0</v>
      </c>
      <c r="J38" s="417"/>
      <c r="K38" s="417"/>
      <c r="L38" s="396">
        <f t="shared" si="1"/>
        <v>0</v>
      </c>
    </row>
    <row r="39" spans="1:12" s="5" customFormat="1" ht="12.75" customHeight="1">
      <c r="A39" s="19" t="s">
        <v>322</v>
      </c>
      <c r="B39" s="20"/>
      <c r="C39" s="48" t="s">
        <v>571</v>
      </c>
      <c r="D39" s="35"/>
      <c r="E39" s="41"/>
      <c r="F39" s="136"/>
      <c r="G39" s="417"/>
      <c r="H39" s="417"/>
      <c r="I39" s="396">
        <f t="shared" si="0"/>
        <v>0</v>
      </c>
      <c r="J39" s="417"/>
      <c r="K39" s="417"/>
      <c r="L39" s="396">
        <f t="shared" si="1"/>
        <v>0</v>
      </c>
    </row>
    <row r="40" spans="1:12" s="5" customFormat="1" ht="24.75" customHeight="1">
      <c r="A40" s="19" t="s">
        <v>324</v>
      </c>
      <c r="B40" s="20"/>
      <c r="C40" s="567" t="s">
        <v>572</v>
      </c>
      <c r="D40" s="567"/>
      <c r="E40" s="567"/>
      <c r="F40" s="136"/>
      <c r="G40" s="417"/>
      <c r="H40" s="417"/>
      <c r="I40" s="396">
        <f t="shared" si="0"/>
        <v>0</v>
      </c>
      <c r="J40" s="417"/>
      <c r="K40" s="417"/>
      <c r="L40" s="396">
        <f t="shared" si="1"/>
        <v>0</v>
      </c>
    </row>
    <row r="41" spans="1:12" s="5" customFormat="1" ht="12.75" customHeight="1">
      <c r="A41" s="19" t="s">
        <v>326</v>
      </c>
      <c r="B41" s="20"/>
      <c r="C41" s="21" t="s">
        <v>573</v>
      </c>
      <c r="D41" s="21"/>
      <c r="E41" s="24"/>
      <c r="F41" s="136"/>
      <c r="G41" s="417"/>
      <c r="H41" s="417"/>
      <c r="I41" s="396">
        <f t="shared" si="0"/>
        <v>0</v>
      </c>
      <c r="J41" s="417"/>
      <c r="K41" s="417"/>
      <c r="L41" s="396">
        <f t="shared" si="1"/>
        <v>0</v>
      </c>
    </row>
    <row r="42" spans="1:12" s="5" customFormat="1" ht="12.75" customHeight="1">
      <c r="A42" s="264" t="s">
        <v>336</v>
      </c>
      <c r="B42" s="269" t="s">
        <v>574</v>
      </c>
      <c r="C42" s="270"/>
      <c r="D42" s="270"/>
      <c r="E42" s="271"/>
      <c r="F42" s="264"/>
      <c r="G42" s="396">
        <f>SUM(G43:G54)</f>
        <v>2815871.4699999997</v>
      </c>
      <c r="H42" s="396">
        <f>SUM(H43:H54)</f>
        <v>0</v>
      </c>
      <c r="I42" s="396">
        <f t="shared" si="0"/>
        <v>2815871.4699999997</v>
      </c>
      <c r="J42" s="396">
        <f>SUM(J43:J54)</f>
        <v>2578456.1199999996</v>
      </c>
      <c r="K42" s="396">
        <f>SUM(K43:K54)</f>
        <v>0</v>
      </c>
      <c r="L42" s="396">
        <f t="shared" si="1"/>
        <v>2578456.1199999996</v>
      </c>
    </row>
    <row r="43" spans="1:12" s="5" customFormat="1" ht="12.75" customHeight="1">
      <c r="A43" s="40" t="s">
        <v>352</v>
      </c>
      <c r="B43" s="33"/>
      <c r="C43" s="48" t="s">
        <v>575</v>
      </c>
      <c r="D43" s="106"/>
      <c r="E43" s="106"/>
      <c r="F43" s="18"/>
      <c r="G43" s="417">
        <f>1055460.44+133298.63+44457.78+261902.21+4300+326311.46+41133.93+13753.33+81115.97</f>
        <v>1961733.7499999998</v>
      </c>
      <c r="H43" s="417"/>
      <c r="I43" s="396">
        <f t="shared" si="0"/>
        <v>1961733.7499999998</v>
      </c>
      <c r="J43" s="417">
        <v>1853790.25</v>
      </c>
      <c r="K43" s="417"/>
      <c r="L43" s="396">
        <f t="shared" si="1"/>
        <v>1853790.25</v>
      </c>
    </row>
    <row r="44" spans="1:12" s="5" customFormat="1" ht="12.75" customHeight="1">
      <c r="A44" s="40" t="s">
        <v>354</v>
      </c>
      <c r="B44" s="33"/>
      <c r="C44" s="34" t="s">
        <v>576</v>
      </c>
      <c r="D44" s="35"/>
      <c r="E44" s="35"/>
      <c r="F44" s="18"/>
      <c r="G44" s="417">
        <f>6431.55+15551.06+111509.99+54047.42+20631.64+15000+54581.51+75481.91+9145.47+3000+10048.91+4470.67+6509.12</f>
        <v>386409.25</v>
      </c>
      <c r="H44" s="417"/>
      <c r="I44" s="396">
        <f t="shared" si="0"/>
        <v>386409.25</v>
      </c>
      <c r="J44" s="417">
        <v>325827.14</v>
      </c>
      <c r="K44" s="417"/>
      <c r="L44" s="396">
        <f t="shared" si="1"/>
        <v>325827.14</v>
      </c>
    </row>
    <row r="45" spans="1:12" s="5" customFormat="1" ht="12.75" customHeight="1">
      <c r="A45" s="40" t="s">
        <v>356</v>
      </c>
      <c r="B45" s="33"/>
      <c r="C45" s="34" t="s">
        <v>577</v>
      </c>
      <c r="D45" s="35"/>
      <c r="E45" s="35"/>
      <c r="F45" s="18"/>
      <c r="G45" s="417">
        <v>1292.5</v>
      </c>
      <c r="H45" s="417"/>
      <c r="I45" s="396">
        <f t="shared" si="0"/>
        <v>1292.5</v>
      </c>
      <c r="J45" s="417">
        <v>766</v>
      </c>
      <c r="K45" s="417"/>
      <c r="L45" s="396">
        <f t="shared" si="1"/>
        <v>766</v>
      </c>
    </row>
    <row r="46" spans="1:12" s="5" customFormat="1" ht="12.75" customHeight="1">
      <c r="A46" s="40" t="s">
        <v>358</v>
      </c>
      <c r="B46" s="33"/>
      <c r="C46" s="34" t="s">
        <v>578</v>
      </c>
      <c r="D46" s="35"/>
      <c r="E46" s="35"/>
      <c r="F46" s="18"/>
      <c r="G46" s="417">
        <f>209+3748.6+2968+2381.49</f>
        <v>9307.09</v>
      </c>
      <c r="H46" s="417"/>
      <c r="I46" s="396">
        <f t="shared" si="0"/>
        <v>9307.09</v>
      </c>
      <c r="J46" s="417">
        <v>7771.21</v>
      </c>
      <c r="K46" s="417"/>
      <c r="L46" s="396">
        <f t="shared" si="1"/>
        <v>7771.21</v>
      </c>
    </row>
    <row r="47" spans="1:12" s="5" customFormat="1" ht="12.75" customHeight="1">
      <c r="A47" s="40" t="s">
        <v>360</v>
      </c>
      <c r="B47" s="33"/>
      <c r="C47" s="34" t="s">
        <v>579</v>
      </c>
      <c r="D47" s="35"/>
      <c r="E47" s="35"/>
      <c r="F47" s="18"/>
      <c r="G47" s="417">
        <v>2256.21</v>
      </c>
      <c r="H47" s="417"/>
      <c r="I47" s="396">
        <f t="shared" si="0"/>
        <v>2256.21</v>
      </c>
      <c r="J47" s="417">
        <v>1145</v>
      </c>
      <c r="K47" s="417"/>
      <c r="L47" s="396">
        <f t="shared" si="1"/>
        <v>1145</v>
      </c>
    </row>
    <row r="48" spans="1:12" s="5" customFormat="1" ht="12.75" customHeight="1">
      <c r="A48" s="40" t="s">
        <v>362</v>
      </c>
      <c r="B48" s="33"/>
      <c r="C48" s="48" t="s">
        <v>580</v>
      </c>
      <c r="D48" s="106"/>
      <c r="E48" s="106"/>
      <c r="F48" s="18"/>
      <c r="G48" s="417">
        <v>4340</v>
      </c>
      <c r="H48" s="417"/>
      <c r="I48" s="396">
        <f t="shared" si="0"/>
        <v>4340</v>
      </c>
      <c r="J48" s="417">
        <v>236</v>
      </c>
      <c r="K48" s="417"/>
      <c r="L48" s="396">
        <f t="shared" si="1"/>
        <v>236</v>
      </c>
    </row>
    <row r="49" spans="1:12" s="5" customFormat="1" ht="12.75" customHeight="1">
      <c r="A49" s="40" t="s">
        <v>581</v>
      </c>
      <c r="B49" s="33"/>
      <c r="C49" s="107" t="s">
        <v>582</v>
      </c>
      <c r="D49" s="41"/>
      <c r="E49" s="41"/>
      <c r="F49" s="18"/>
      <c r="G49" s="417">
        <f>146153.73+1084.58+78375.01+800-3600</f>
        <v>222813.32</v>
      </c>
      <c r="H49" s="417"/>
      <c r="I49" s="396">
        <f t="shared" si="0"/>
        <v>222813.32</v>
      </c>
      <c r="J49" s="417">
        <v>199692.9</v>
      </c>
      <c r="K49" s="417"/>
      <c r="L49" s="396">
        <f t="shared" si="1"/>
        <v>199692.9</v>
      </c>
    </row>
    <row r="50" spans="1:12" s="5" customFormat="1" ht="12.75" customHeight="1">
      <c r="A50" s="40" t="s">
        <v>583</v>
      </c>
      <c r="B50" s="33"/>
      <c r="C50" s="107" t="s">
        <v>584</v>
      </c>
      <c r="D50" s="41"/>
      <c r="E50" s="41"/>
      <c r="F50" s="18"/>
      <c r="G50" s="417"/>
      <c r="H50" s="417"/>
      <c r="I50" s="396">
        <f t="shared" si="0"/>
        <v>0</v>
      </c>
      <c r="J50" s="417"/>
      <c r="K50" s="417"/>
      <c r="L50" s="396">
        <f t="shared" si="1"/>
        <v>0</v>
      </c>
    </row>
    <row r="51" spans="1:12" s="5" customFormat="1" ht="12.75" customHeight="1">
      <c r="A51" s="40" t="s">
        <v>585</v>
      </c>
      <c r="B51" s="33"/>
      <c r="C51" s="107" t="s">
        <v>586</v>
      </c>
      <c r="D51" s="41"/>
      <c r="E51" s="41"/>
      <c r="F51" s="18"/>
      <c r="G51" s="417">
        <v>884.76</v>
      </c>
      <c r="H51" s="417"/>
      <c r="I51" s="396">
        <f t="shared" si="0"/>
        <v>884.76</v>
      </c>
      <c r="J51" s="417">
        <v>884.76</v>
      </c>
      <c r="K51" s="417"/>
      <c r="L51" s="396">
        <f t="shared" si="1"/>
        <v>884.76</v>
      </c>
    </row>
    <row r="52" spans="1:12" s="5" customFormat="1" ht="12.75" customHeight="1">
      <c r="A52" s="40" t="s">
        <v>587</v>
      </c>
      <c r="B52" s="33"/>
      <c r="C52" s="107" t="s">
        <v>588</v>
      </c>
      <c r="D52" s="41"/>
      <c r="E52" s="41"/>
      <c r="F52" s="18"/>
      <c r="G52" s="417">
        <f>38270.83+62680.17+15300+8400+40800+61383.59-18.45</f>
        <v>226816.13999999998</v>
      </c>
      <c r="H52" s="417"/>
      <c r="I52" s="396">
        <f t="shared" si="0"/>
        <v>226816.13999999998</v>
      </c>
      <c r="J52" s="417">
        <v>188342.86</v>
      </c>
      <c r="K52" s="417"/>
      <c r="L52" s="396">
        <f t="shared" si="1"/>
        <v>188342.86</v>
      </c>
    </row>
    <row r="53" spans="1:12" s="5" customFormat="1" ht="12.75" customHeight="1">
      <c r="A53" s="40" t="s">
        <v>589</v>
      </c>
      <c r="B53" s="33"/>
      <c r="C53" s="107" t="s">
        <v>590</v>
      </c>
      <c r="D53" s="41"/>
      <c r="E53" s="41"/>
      <c r="F53" s="18"/>
      <c r="G53" s="417"/>
      <c r="H53" s="417"/>
      <c r="I53" s="396">
        <f t="shared" si="0"/>
        <v>0</v>
      </c>
      <c r="J53" s="417"/>
      <c r="K53" s="417"/>
      <c r="L53" s="396">
        <f t="shared" si="1"/>
        <v>0</v>
      </c>
    </row>
    <row r="54" spans="1:12" s="5" customFormat="1" ht="12.75" customHeight="1">
      <c r="A54" s="40" t="s">
        <v>591</v>
      </c>
      <c r="B54" s="33"/>
      <c r="C54" s="107" t="s">
        <v>592</v>
      </c>
      <c r="D54" s="41"/>
      <c r="E54" s="41"/>
      <c r="F54" s="18"/>
      <c r="G54" s="417">
        <v>18.45</v>
      </c>
      <c r="H54" s="417"/>
      <c r="I54" s="396">
        <f t="shared" si="0"/>
        <v>18.45</v>
      </c>
      <c r="J54" s="417"/>
      <c r="K54" s="417"/>
      <c r="L54" s="396">
        <f t="shared" si="1"/>
        <v>0</v>
      </c>
    </row>
    <row r="55" spans="1:12" s="5" customFormat="1" ht="24.75" customHeight="1">
      <c r="A55" s="259" t="s">
        <v>340</v>
      </c>
      <c r="B55" s="569" t="s">
        <v>593</v>
      </c>
      <c r="C55" s="569"/>
      <c r="D55" s="569"/>
      <c r="E55" s="569"/>
      <c r="F55" s="334"/>
      <c r="G55" s="396">
        <f>G56+G57+G58+G62+G66+G67+G68+G69</f>
        <v>-3600</v>
      </c>
      <c r="H55" s="396">
        <f>H56+H57+H58+H62+H66+H67+H68+H69</f>
        <v>0</v>
      </c>
      <c r="I55" s="396">
        <f t="shared" si="0"/>
        <v>-3600</v>
      </c>
      <c r="J55" s="396">
        <f>J56+J57+J58+J62+J66+J67+J68+J69</f>
        <v>-34500</v>
      </c>
      <c r="K55" s="396">
        <f>K56+K57+K58+K62+K66+K67+K68+K69</f>
        <v>0</v>
      </c>
      <c r="L55" s="396">
        <f t="shared" si="1"/>
        <v>-34500</v>
      </c>
    </row>
    <row r="56" spans="1:12" s="5" customFormat="1" ht="24.75" customHeight="1">
      <c r="A56" s="18" t="s">
        <v>302</v>
      </c>
      <c r="B56" s="617" t="s">
        <v>165</v>
      </c>
      <c r="C56" s="617"/>
      <c r="D56" s="617"/>
      <c r="E56" s="617"/>
      <c r="F56" s="18"/>
      <c r="G56" s="417">
        <v>-3600</v>
      </c>
      <c r="H56" s="417"/>
      <c r="I56" s="396">
        <f t="shared" si="0"/>
        <v>-3600</v>
      </c>
      <c r="J56" s="417">
        <v>-34500</v>
      </c>
      <c r="K56" s="417"/>
      <c r="L56" s="396">
        <f t="shared" si="1"/>
        <v>-34500</v>
      </c>
    </row>
    <row r="57" spans="1:12" s="5" customFormat="1" ht="24.75" customHeight="1">
      <c r="A57" s="18" t="s">
        <v>314</v>
      </c>
      <c r="B57" s="570" t="s">
        <v>166</v>
      </c>
      <c r="C57" s="570"/>
      <c r="D57" s="570"/>
      <c r="E57" s="570"/>
      <c r="F57" s="18"/>
      <c r="G57" s="417"/>
      <c r="H57" s="417"/>
      <c r="I57" s="396">
        <f t="shared" si="0"/>
        <v>0</v>
      </c>
      <c r="J57" s="417"/>
      <c r="K57" s="417"/>
      <c r="L57" s="396">
        <f t="shared" si="1"/>
        <v>0</v>
      </c>
    </row>
    <row r="58" spans="1:12" s="5" customFormat="1" ht="12.75" customHeight="1">
      <c r="A58" s="264" t="s">
        <v>336</v>
      </c>
      <c r="B58" s="571" t="s">
        <v>594</v>
      </c>
      <c r="C58" s="571"/>
      <c r="D58" s="571"/>
      <c r="E58" s="571"/>
      <c r="F58" s="264"/>
      <c r="G58" s="396">
        <f>G59+G60+G61</f>
        <v>0</v>
      </c>
      <c r="H58" s="396">
        <f>H59+H60+H61</f>
        <v>0</v>
      </c>
      <c r="I58" s="396">
        <f t="shared" si="0"/>
        <v>0</v>
      </c>
      <c r="J58" s="396">
        <f>J59+J60+J61</f>
        <v>0</v>
      </c>
      <c r="K58" s="396">
        <f>K59+K60+K61</f>
        <v>0</v>
      </c>
      <c r="L58" s="396">
        <f t="shared" si="1"/>
        <v>0</v>
      </c>
    </row>
    <row r="59" spans="1:12" s="5" customFormat="1" ht="24.75" customHeight="1">
      <c r="A59" s="40" t="s">
        <v>352</v>
      </c>
      <c r="B59" s="33"/>
      <c r="C59" s="616" t="s">
        <v>167</v>
      </c>
      <c r="D59" s="616"/>
      <c r="E59" s="616"/>
      <c r="F59" s="18"/>
      <c r="G59" s="417"/>
      <c r="H59" s="417"/>
      <c r="I59" s="396">
        <f t="shared" si="0"/>
        <v>0</v>
      </c>
      <c r="J59" s="417"/>
      <c r="K59" s="417"/>
      <c r="L59" s="396">
        <f t="shared" si="1"/>
        <v>0</v>
      </c>
    </row>
    <row r="60" spans="1:12" s="5" customFormat="1" ht="24.75" customHeight="1">
      <c r="A60" s="47" t="s">
        <v>354</v>
      </c>
      <c r="B60" s="33"/>
      <c r="C60" s="616" t="s">
        <v>168</v>
      </c>
      <c r="D60" s="616"/>
      <c r="E60" s="616"/>
      <c r="F60" s="147"/>
      <c r="G60" s="418"/>
      <c r="H60" s="418"/>
      <c r="I60" s="396">
        <f t="shared" si="0"/>
        <v>0</v>
      </c>
      <c r="J60" s="418"/>
      <c r="K60" s="418"/>
      <c r="L60" s="396">
        <f t="shared" si="1"/>
        <v>0</v>
      </c>
    </row>
    <row r="61" spans="1:12" s="5" customFormat="1" ht="12.75" customHeight="1">
      <c r="A61" s="40" t="s">
        <v>356</v>
      </c>
      <c r="B61" s="33"/>
      <c r="C61" s="48" t="s">
        <v>169</v>
      </c>
      <c r="D61" s="34"/>
      <c r="E61" s="34"/>
      <c r="F61" s="18"/>
      <c r="G61" s="417"/>
      <c r="H61" s="417"/>
      <c r="I61" s="396">
        <f t="shared" si="0"/>
        <v>0</v>
      </c>
      <c r="J61" s="417"/>
      <c r="K61" s="417"/>
      <c r="L61" s="396">
        <f t="shared" si="1"/>
        <v>0</v>
      </c>
    </row>
    <row r="62" spans="1:12" s="5" customFormat="1" ht="12.75" customHeight="1">
      <c r="A62" s="264" t="s">
        <v>338</v>
      </c>
      <c r="B62" s="269" t="s">
        <v>595</v>
      </c>
      <c r="C62" s="270"/>
      <c r="D62" s="270"/>
      <c r="E62" s="271"/>
      <c r="F62" s="264"/>
      <c r="G62" s="396">
        <f>G63+G64+G65</f>
        <v>0</v>
      </c>
      <c r="H62" s="396">
        <f>H63+H64+H65</f>
        <v>0</v>
      </c>
      <c r="I62" s="396">
        <f t="shared" si="0"/>
        <v>0</v>
      </c>
      <c r="J62" s="396">
        <f>J63+J64+J65</f>
        <v>0</v>
      </c>
      <c r="K62" s="396">
        <f>K63+K64+K65</f>
        <v>0</v>
      </c>
      <c r="L62" s="396">
        <f t="shared" si="1"/>
        <v>0</v>
      </c>
    </row>
    <row r="63" spans="1:12" s="5" customFormat="1" ht="24.75" customHeight="1">
      <c r="A63" s="19" t="s">
        <v>409</v>
      </c>
      <c r="B63" s="20"/>
      <c r="C63" s="616" t="s">
        <v>170</v>
      </c>
      <c r="D63" s="616"/>
      <c r="E63" s="616"/>
      <c r="F63" s="335"/>
      <c r="G63" s="417"/>
      <c r="H63" s="417"/>
      <c r="I63" s="396">
        <f t="shared" si="0"/>
        <v>0</v>
      </c>
      <c r="J63" s="417"/>
      <c r="K63" s="417"/>
      <c r="L63" s="396">
        <f t="shared" si="1"/>
        <v>0</v>
      </c>
    </row>
    <row r="64" spans="1:12" s="5" customFormat="1" ht="24.75" customHeight="1">
      <c r="A64" s="19" t="s">
        <v>411</v>
      </c>
      <c r="B64" s="20"/>
      <c r="C64" s="616" t="s">
        <v>171</v>
      </c>
      <c r="D64" s="616"/>
      <c r="E64" s="616"/>
      <c r="F64" s="335"/>
      <c r="G64" s="417"/>
      <c r="H64" s="417"/>
      <c r="I64" s="396">
        <f t="shared" si="0"/>
        <v>0</v>
      </c>
      <c r="J64" s="417"/>
      <c r="K64" s="417"/>
      <c r="L64" s="396">
        <f t="shared" si="1"/>
        <v>0</v>
      </c>
    </row>
    <row r="65" spans="1:12" s="5" customFormat="1" ht="12.75" customHeight="1">
      <c r="A65" s="19" t="s">
        <v>596</v>
      </c>
      <c r="B65" s="20"/>
      <c r="C65" s="616" t="s">
        <v>172</v>
      </c>
      <c r="D65" s="616"/>
      <c r="E65" s="616"/>
      <c r="F65" s="335"/>
      <c r="G65" s="417"/>
      <c r="H65" s="417"/>
      <c r="I65" s="396">
        <f t="shared" si="0"/>
        <v>0</v>
      </c>
      <c r="J65" s="417"/>
      <c r="K65" s="417"/>
      <c r="L65" s="396">
        <f t="shared" si="1"/>
        <v>0</v>
      </c>
    </row>
    <row r="66" spans="1:12" s="5" customFormat="1" ht="24.75" customHeight="1">
      <c r="A66" s="18" t="s">
        <v>365</v>
      </c>
      <c r="B66" s="617" t="s">
        <v>173</v>
      </c>
      <c r="C66" s="617"/>
      <c r="D66" s="617"/>
      <c r="E66" s="617"/>
      <c r="F66" s="18"/>
      <c r="G66" s="417"/>
      <c r="H66" s="417"/>
      <c r="I66" s="396">
        <f t="shared" si="0"/>
        <v>0</v>
      </c>
      <c r="J66" s="417"/>
      <c r="K66" s="417"/>
      <c r="L66" s="396">
        <f t="shared" si="1"/>
        <v>0</v>
      </c>
    </row>
    <row r="67" spans="1:12" s="5" customFormat="1" ht="24.75" customHeight="1">
      <c r="A67" s="18" t="s">
        <v>454</v>
      </c>
      <c r="B67" s="570" t="s">
        <v>174</v>
      </c>
      <c r="C67" s="570"/>
      <c r="D67" s="570"/>
      <c r="E67" s="570"/>
      <c r="F67" s="18"/>
      <c r="G67" s="417"/>
      <c r="H67" s="417"/>
      <c r="I67" s="396">
        <f t="shared" si="0"/>
        <v>0</v>
      </c>
      <c r="J67" s="417"/>
      <c r="K67" s="417"/>
      <c r="L67" s="396">
        <f t="shared" si="1"/>
        <v>0</v>
      </c>
    </row>
    <row r="68" spans="1:12" s="5" customFormat="1" ht="24.75" customHeight="1">
      <c r="A68" s="18" t="s">
        <v>457</v>
      </c>
      <c r="B68" s="570" t="s">
        <v>175</v>
      </c>
      <c r="C68" s="570"/>
      <c r="D68" s="570"/>
      <c r="E68" s="570"/>
      <c r="F68" s="18"/>
      <c r="G68" s="417"/>
      <c r="H68" s="417"/>
      <c r="I68" s="396">
        <f t="shared" si="0"/>
        <v>0</v>
      </c>
      <c r="J68" s="417"/>
      <c r="K68" s="417"/>
      <c r="L68" s="396">
        <f t="shared" si="1"/>
        <v>0</v>
      </c>
    </row>
    <row r="69" spans="1:12" s="5" customFormat="1" ht="24.75" customHeight="1">
      <c r="A69" s="38" t="s">
        <v>460</v>
      </c>
      <c r="B69" s="575" t="s">
        <v>176</v>
      </c>
      <c r="C69" s="575"/>
      <c r="D69" s="575"/>
      <c r="E69" s="575"/>
      <c r="F69" s="18"/>
      <c r="G69" s="417"/>
      <c r="H69" s="417"/>
      <c r="I69" s="396">
        <f t="shared" si="0"/>
        <v>0</v>
      </c>
      <c r="J69" s="417"/>
      <c r="K69" s="417"/>
      <c r="L69" s="396">
        <f t="shared" si="1"/>
        <v>0</v>
      </c>
    </row>
    <row r="70" spans="1:12" s="5" customFormat="1" ht="24.75" customHeight="1">
      <c r="A70" s="259" t="s">
        <v>342</v>
      </c>
      <c r="B70" s="569" t="s">
        <v>597</v>
      </c>
      <c r="C70" s="569"/>
      <c r="D70" s="569"/>
      <c r="E70" s="569"/>
      <c r="F70" s="264"/>
      <c r="G70" s="396">
        <f>G71-G72-G73+G74-G79+G80+G81</f>
        <v>3600</v>
      </c>
      <c r="H70" s="396">
        <f>H71-H72-H73+H74-H79+H80+H81</f>
        <v>0</v>
      </c>
      <c r="I70" s="396">
        <f>G70+H70</f>
        <v>3600</v>
      </c>
      <c r="J70" s="396">
        <f>J71-J72-J73+J74-J79+J80+J81</f>
        <v>34500</v>
      </c>
      <c r="K70" s="396">
        <f>K71-K72-K73+K74-K79+K80+K81</f>
        <v>0</v>
      </c>
      <c r="L70" s="396">
        <f t="shared" si="1"/>
        <v>34500</v>
      </c>
    </row>
    <row r="71" spans="1:12" s="5" customFormat="1" ht="12.75" customHeight="1">
      <c r="A71" s="18" t="s">
        <v>302</v>
      </c>
      <c r="B71" s="36" t="s">
        <v>598</v>
      </c>
      <c r="C71" s="20"/>
      <c r="D71" s="20"/>
      <c r="E71" s="26"/>
      <c r="F71" s="18"/>
      <c r="G71" s="417"/>
      <c r="H71" s="417"/>
      <c r="I71" s="396">
        <f t="shared" si="0"/>
        <v>0</v>
      </c>
      <c r="J71" s="417"/>
      <c r="K71" s="417"/>
      <c r="L71" s="396">
        <f t="shared" si="1"/>
        <v>0</v>
      </c>
    </row>
    <row r="72" spans="1:12" s="5" customFormat="1" ht="12.75" customHeight="1">
      <c r="A72" s="18" t="s">
        <v>314</v>
      </c>
      <c r="B72" s="30" t="s">
        <v>599</v>
      </c>
      <c r="C72" s="108"/>
      <c r="D72" s="31"/>
      <c r="E72" s="32"/>
      <c r="F72" s="18"/>
      <c r="G72" s="417"/>
      <c r="H72" s="417"/>
      <c r="I72" s="396">
        <f t="shared" si="0"/>
        <v>0</v>
      </c>
      <c r="J72" s="417"/>
      <c r="K72" s="417"/>
      <c r="L72" s="396">
        <f t="shared" si="1"/>
        <v>0</v>
      </c>
    </row>
    <row r="73" spans="1:12" s="5" customFormat="1" ht="24.75" customHeight="1">
      <c r="A73" s="18" t="s">
        <v>336</v>
      </c>
      <c r="B73" s="617" t="s">
        <v>600</v>
      </c>
      <c r="C73" s="617"/>
      <c r="D73" s="617"/>
      <c r="E73" s="617"/>
      <c r="F73" s="18"/>
      <c r="G73" s="417"/>
      <c r="H73" s="417"/>
      <c r="I73" s="396">
        <f t="shared" si="0"/>
        <v>0</v>
      </c>
      <c r="J73" s="417"/>
      <c r="K73" s="417"/>
      <c r="L73" s="396">
        <f t="shared" si="1"/>
        <v>0</v>
      </c>
    </row>
    <row r="74" spans="1:12" s="5" customFormat="1" ht="30" customHeight="1">
      <c r="A74" s="264" t="s">
        <v>373</v>
      </c>
      <c r="B74" s="576" t="s">
        <v>601</v>
      </c>
      <c r="C74" s="576"/>
      <c r="D74" s="576"/>
      <c r="E74" s="576"/>
      <c r="F74" s="264"/>
      <c r="G74" s="396">
        <f>G75+G76+G77+G78</f>
        <v>3600</v>
      </c>
      <c r="H74" s="396">
        <f>H75+H76+H77+H78</f>
        <v>0</v>
      </c>
      <c r="I74" s="396">
        <f t="shared" si="0"/>
        <v>3600</v>
      </c>
      <c r="J74" s="396">
        <f>J75+J76+J77+J78</f>
        <v>34500</v>
      </c>
      <c r="K74" s="396">
        <f>K75+K76+K77+K78</f>
        <v>0</v>
      </c>
      <c r="L74" s="396">
        <f t="shared" si="1"/>
        <v>34500</v>
      </c>
    </row>
    <row r="75" spans="1:12" s="5" customFormat="1" ht="12.75">
      <c r="A75" s="19" t="s">
        <v>409</v>
      </c>
      <c r="B75" s="53"/>
      <c r="C75" s="109"/>
      <c r="D75" s="21" t="s">
        <v>551</v>
      </c>
      <c r="E75" s="24"/>
      <c r="F75" s="18"/>
      <c r="G75" s="417"/>
      <c r="H75" s="417"/>
      <c r="I75" s="396">
        <f t="shared" si="0"/>
        <v>0</v>
      </c>
      <c r="J75" s="417"/>
      <c r="K75" s="417"/>
      <c r="L75" s="396">
        <f t="shared" si="1"/>
        <v>0</v>
      </c>
    </row>
    <row r="76" spans="1:12" s="5" customFormat="1" ht="12.75" customHeight="1">
      <c r="A76" s="19" t="s">
        <v>411</v>
      </c>
      <c r="B76" s="20"/>
      <c r="C76" s="110"/>
      <c r="D76" s="21" t="s">
        <v>371</v>
      </c>
      <c r="E76" s="24"/>
      <c r="F76" s="18"/>
      <c r="G76" s="417">
        <v>3600</v>
      </c>
      <c r="H76" s="417"/>
      <c r="I76" s="396">
        <f t="shared" si="0"/>
        <v>3600</v>
      </c>
      <c r="J76" s="417">
        <v>34500</v>
      </c>
      <c r="K76" s="417"/>
      <c r="L76" s="396">
        <f t="shared" si="1"/>
        <v>34500</v>
      </c>
    </row>
    <row r="77" spans="1:12" s="5" customFormat="1" ht="24.75" customHeight="1">
      <c r="A77" s="19" t="s">
        <v>596</v>
      </c>
      <c r="B77" s="20"/>
      <c r="C77" s="28"/>
      <c r="D77" s="567" t="s">
        <v>602</v>
      </c>
      <c r="E77" s="567"/>
      <c r="F77" s="136"/>
      <c r="G77" s="417"/>
      <c r="H77" s="417"/>
      <c r="I77" s="396">
        <f t="shared" si="0"/>
        <v>0</v>
      </c>
      <c r="J77" s="417"/>
      <c r="K77" s="417"/>
      <c r="L77" s="396">
        <f t="shared" si="1"/>
        <v>0</v>
      </c>
    </row>
    <row r="78" spans="1:12" s="5" customFormat="1" ht="12.75" customHeight="1">
      <c r="A78" s="19" t="s">
        <v>603</v>
      </c>
      <c r="B78" s="20"/>
      <c r="C78" s="28"/>
      <c r="D78" s="21" t="s">
        <v>374</v>
      </c>
      <c r="E78" s="22"/>
      <c r="F78" s="18"/>
      <c r="G78" s="417"/>
      <c r="H78" s="417"/>
      <c r="I78" s="396">
        <f t="shared" si="0"/>
        <v>0</v>
      </c>
      <c r="J78" s="417"/>
      <c r="K78" s="417"/>
      <c r="L78" s="396">
        <f t="shared" si="1"/>
        <v>0</v>
      </c>
    </row>
    <row r="79" spans="1:12" s="5" customFormat="1" ht="27.75" customHeight="1">
      <c r="A79" s="19" t="s">
        <v>365</v>
      </c>
      <c r="B79" s="570" t="s">
        <v>604</v>
      </c>
      <c r="C79" s="570"/>
      <c r="D79" s="570"/>
      <c r="E79" s="570"/>
      <c r="F79" s="18"/>
      <c r="G79" s="417"/>
      <c r="H79" s="417"/>
      <c r="I79" s="396">
        <f t="shared" si="0"/>
        <v>0</v>
      </c>
      <c r="J79" s="417"/>
      <c r="K79" s="417"/>
      <c r="L79" s="396">
        <f t="shared" si="1"/>
        <v>0</v>
      </c>
    </row>
    <row r="80" spans="1:12" s="5" customFormat="1" ht="12.75">
      <c r="A80" s="19" t="s">
        <v>454</v>
      </c>
      <c r="B80" s="111" t="s">
        <v>605</v>
      </c>
      <c r="C80" s="96"/>
      <c r="D80" s="112"/>
      <c r="E80" s="97"/>
      <c r="F80" s="18"/>
      <c r="G80" s="417"/>
      <c r="H80" s="417"/>
      <c r="I80" s="396">
        <f t="shared" si="0"/>
        <v>0</v>
      </c>
      <c r="J80" s="417"/>
      <c r="K80" s="417"/>
      <c r="L80" s="396">
        <f t="shared" si="1"/>
        <v>0</v>
      </c>
    </row>
    <row r="81" spans="1:12" s="5" customFormat="1" ht="12.75">
      <c r="A81" s="19" t="s">
        <v>457</v>
      </c>
      <c r="B81" s="111" t="s">
        <v>177</v>
      </c>
      <c r="C81" s="96"/>
      <c r="D81" s="103"/>
      <c r="E81" s="113"/>
      <c r="F81" s="18"/>
      <c r="G81" s="417"/>
      <c r="H81" s="417"/>
      <c r="I81" s="396">
        <f t="shared" si="0"/>
        <v>0</v>
      </c>
      <c r="J81" s="417"/>
      <c r="K81" s="417"/>
      <c r="L81" s="396">
        <f t="shared" si="1"/>
        <v>0</v>
      </c>
    </row>
    <row r="82" spans="1:12" s="5" customFormat="1" ht="39" customHeight="1">
      <c r="A82" s="12" t="s">
        <v>368</v>
      </c>
      <c r="B82" s="568" t="s">
        <v>606</v>
      </c>
      <c r="C82" s="568"/>
      <c r="D82" s="568"/>
      <c r="E82" s="568"/>
      <c r="F82" s="136"/>
      <c r="G82" s="417"/>
      <c r="H82" s="417"/>
      <c r="I82" s="396">
        <f t="shared" si="0"/>
        <v>0</v>
      </c>
      <c r="J82" s="417"/>
      <c r="K82" s="417"/>
      <c r="L82" s="396">
        <f t="shared" si="1"/>
        <v>0</v>
      </c>
    </row>
    <row r="83" spans="1:12" s="5" customFormat="1" ht="24.75" customHeight="1">
      <c r="A83" s="259"/>
      <c r="B83" s="569" t="s">
        <v>607</v>
      </c>
      <c r="C83" s="569"/>
      <c r="D83" s="569"/>
      <c r="E83" s="569"/>
      <c r="F83" s="334"/>
      <c r="G83" s="396">
        <f>G22+G55+G70+G82</f>
        <v>-5769.439999999944</v>
      </c>
      <c r="H83" s="396">
        <f>H22+H55+H70+H82</f>
        <v>0</v>
      </c>
      <c r="I83" s="396">
        <f t="shared" si="0"/>
        <v>-5769.439999999944</v>
      </c>
      <c r="J83" s="396">
        <f>J22+J55+J70+J82</f>
        <v>4224.590000000317</v>
      </c>
      <c r="K83" s="396">
        <f>K22+K55+K70+K82</f>
        <v>0</v>
      </c>
      <c r="L83" s="396">
        <f t="shared" si="1"/>
        <v>4224.590000000317</v>
      </c>
    </row>
    <row r="84" spans="1:12" s="5" customFormat="1" ht="24.75" customHeight="1">
      <c r="A84" s="114"/>
      <c r="B84" s="572" t="s">
        <v>608</v>
      </c>
      <c r="C84" s="572"/>
      <c r="D84" s="572"/>
      <c r="E84" s="572"/>
      <c r="F84" s="18"/>
      <c r="G84" s="396">
        <f>J85</f>
        <v>15662.76</v>
      </c>
      <c r="H84" s="417"/>
      <c r="I84" s="396">
        <f>G84</f>
        <v>15662.76</v>
      </c>
      <c r="J84" s="417">
        <v>11438.17</v>
      </c>
      <c r="K84" s="417"/>
      <c r="L84" s="396">
        <f>J84</f>
        <v>11438.17</v>
      </c>
    </row>
    <row r="85" spans="1:12" s="5" customFormat="1" ht="24.75" customHeight="1">
      <c r="A85" s="115"/>
      <c r="B85" s="573" t="s">
        <v>609</v>
      </c>
      <c r="C85" s="573"/>
      <c r="D85" s="573"/>
      <c r="E85" s="573"/>
      <c r="F85" s="18"/>
      <c r="G85" s="396">
        <v>9893.32</v>
      </c>
      <c r="H85" s="417"/>
      <c r="I85" s="396">
        <f>G85</f>
        <v>9893.32</v>
      </c>
      <c r="J85" s="396">
        <v>15662.76</v>
      </c>
      <c r="K85" s="417"/>
      <c r="L85" s="396">
        <f>J85</f>
        <v>15662.76</v>
      </c>
    </row>
    <row r="86" spans="1:11" s="5" customFormat="1" ht="12.75">
      <c r="A86" s="64"/>
      <c r="B86" s="65"/>
      <c r="C86" s="65"/>
      <c r="D86" s="65"/>
      <c r="E86" s="65"/>
      <c r="F86" s="65"/>
      <c r="G86" s="2"/>
      <c r="H86" s="2"/>
      <c r="I86" s="2"/>
      <c r="J86" s="2"/>
      <c r="K86" s="2"/>
    </row>
    <row r="87" spans="1:11" s="5" customFormat="1" ht="12.75">
      <c r="A87" s="64"/>
      <c r="B87" s="65"/>
      <c r="C87" s="65"/>
      <c r="D87" s="65"/>
      <c r="E87" s="65"/>
      <c r="F87" s="65"/>
      <c r="G87" s="2"/>
      <c r="H87" s="2"/>
      <c r="I87" s="2"/>
      <c r="J87" s="2"/>
      <c r="K87" s="2"/>
    </row>
    <row r="88" spans="1:11" s="78" customFormat="1" ht="20.25" customHeight="1">
      <c r="A88" s="592" t="s">
        <v>254</v>
      </c>
      <c r="B88" s="592"/>
      <c r="C88" s="592"/>
      <c r="D88" s="592"/>
      <c r="E88" s="592"/>
      <c r="F88" s="592"/>
      <c r="G88" s="592"/>
      <c r="H88" s="607"/>
      <c r="I88" s="607"/>
      <c r="J88" s="607" t="s">
        <v>691</v>
      </c>
      <c r="K88" s="607"/>
    </row>
    <row r="89" spans="1:11" s="5" customFormat="1" ht="25.5" customHeight="1">
      <c r="A89" s="574" t="s">
        <v>535</v>
      </c>
      <c r="B89" s="574"/>
      <c r="C89" s="574"/>
      <c r="D89" s="574"/>
      <c r="E89" s="574"/>
      <c r="F89" s="574"/>
      <c r="G89" s="574"/>
      <c r="H89" s="117" t="s">
        <v>610</v>
      </c>
      <c r="I89" s="10"/>
      <c r="J89" s="595" t="s">
        <v>417</v>
      </c>
      <c r="K89" s="595"/>
    </row>
    <row r="90" s="5" customFormat="1" ht="12.75"/>
    <row r="91" s="5" customFormat="1" ht="12.75">
      <c r="F91" s="2"/>
    </row>
    <row r="92" s="5" customFormat="1" ht="12.75">
      <c r="F92" s="2"/>
    </row>
    <row r="93" s="5" customFormat="1" ht="12.75">
      <c r="F93" s="2"/>
    </row>
    <row r="94" s="5" customFormat="1" ht="12.75">
      <c r="F94" s="2"/>
    </row>
    <row r="95" s="5" customFormat="1" ht="12.75">
      <c r="F95" s="2"/>
    </row>
    <row r="96" s="5" customFormat="1" ht="12.75">
      <c r="F96" s="2"/>
    </row>
    <row r="97" s="5" customFormat="1" ht="12.75">
      <c r="F97" s="2"/>
    </row>
    <row r="98" s="5" customFormat="1" ht="12.75">
      <c r="F98" s="2"/>
    </row>
    <row r="99" s="5" customFormat="1" ht="12.75">
      <c r="F99" s="2"/>
    </row>
    <row r="100" s="5" customFormat="1" ht="12.75">
      <c r="F100" s="2"/>
    </row>
    <row r="101" s="5" customFormat="1" ht="12.75">
      <c r="F101" s="2"/>
    </row>
    <row r="102" s="5" customFormat="1" ht="12.75">
      <c r="F102" s="2"/>
    </row>
    <row r="103" s="5" customFormat="1" ht="12.75">
      <c r="F103" s="2"/>
    </row>
    <row r="104" s="5" customFormat="1" ht="12.75">
      <c r="F104" s="2"/>
    </row>
    <row r="105" s="5" customFormat="1" ht="12.75">
      <c r="F105" s="2"/>
    </row>
    <row r="106" s="5" customFormat="1" ht="12.75">
      <c r="F106" s="2"/>
    </row>
    <row r="107" s="5" customFormat="1" ht="12.75">
      <c r="F107" s="2"/>
    </row>
    <row r="108" s="5" customFormat="1" ht="12.75">
      <c r="F108" s="2"/>
    </row>
    <row r="109" s="5" customFormat="1" ht="12.75">
      <c r="F109" s="2"/>
    </row>
    <row r="110" s="5" customFormat="1" ht="12.75">
      <c r="F110" s="2"/>
    </row>
    <row r="111" s="5" customFormat="1" ht="12.75">
      <c r="F111" s="2"/>
    </row>
    <row r="112" s="5" customFormat="1" ht="12.75">
      <c r="F112" s="2"/>
    </row>
    <row r="113" s="5" customFormat="1" ht="12.75">
      <c r="F113" s="2"/>
    </row>
  </sheetData>
  <sheetProtection/>
  <mergeCells count="48">
    <mergeCell ref="A88:G88"/>
    <mergeCell ref="H88:I88"/>
    <mergeCell ref="J88:K88"/>
    <mergeCell ref="B74:E74"/>
    <mergeCell ref="D77:E77"/>
    <mergeCell ref="B66:E66"/>
    <mergeCell ref="B67:E67"/>
    <mergeCell ref="B70:E70"/>
    <mergeCell ref="B73:E73"/>
    <mergeCell ref="B22:E22"/>
    <mergeCell ref="C60:E60"/>
    <mergeCell ref="J89:K89"/>
    <mergeCell ref="B83:E83"/>
    <mergeCell ref="B84:E84"/>
    <mergeCell ref="B85:E85"/>
    <mergeCell ref="A89:G89"/>
    <mergeCell ref="B79:E79"/>
    <mergeCell ref="B68:E68"/>
    <mergeCell ref="B69:E69"/>
    <mergeCell ref="C59:E59"/>
    <mergeCell ref="B82:E82"/>
    <mergeCell ref="C40:E40"/>
    <mergeCell ref="B55:E55"/>
    <mergeCell ref="C63:E63"/>
    <mergeCell ref="C64:E64"/>
    <mergeCell ref="C65:E65"/>
    <mergeCell ref="B56:E56"/>
    <mergeCell ref="B57:E57"/>
    <mergeCell ref="B58:E58"/>
    <mergeCell ref="D27:E27"/>
    <mergeCell ref="C38:E38"/>
    <mergeCell ref="A13:L13"/>
    <mergeCell ref="A14:L14"/>
    <mergeCell ref="A16:L16"/>
    <mergeCell ref="A17:L17"/>
    <mergeCell ref="F18:L18"/>
    <mergeCell ref="J19:L19"/>
    <mergeCell ref="B19:E20"/>
    <mergeCell ref="B21:E21"/>
    <mergeCell ref="F19:F20"/>
    <mergeCell ref="G19:I19"/>
    <mergeCell ref="A19:A20"/>
    <mergeCell ref="A5:L6"/>
    <mergeCell ref="A7:L7"/>
    <mergeCell ref="A8:L8"/>
    <mergeCell ref="A9:L9"/>
    <mergeCell ref="A10:L11"/>
    <mergeCell ref="A12:F12"/>
  </mergeCells>
  <printOptions/>
  <pageMargins left="0.35433070866141736" right="0.75" top="0.7874015748031497" bottom="0.5905511811023623"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1">
      <selection activeCell="J3" sqref="J3"/>
    </sheetView>
  </sheetViews>
  <sheetFormatPr defaultColWidth="9.140625" defaultRowHeight="12.75"/>
  <cols>
    <col min="1" max="1" width="5.421875" style="118" customWidth="1"/>
    <col min="2" max="2" width="0.2890625" style="118" customWidth="1"/>
    <col min="3" max="3" width="2.00390625" style="118" customWidth="1"/>
    <col min="4" max="4" width="35.421875" style="118" customWidth="1"/>
    <col min="5" max="5" width="9.8515625" style="118" customWidth="1"/>
    <col min="6" max="6" width="10.7109375" style="118" customWidth="1"/>
    <col min="7" max="7" width="12.00390625" style="118" customWidth="1"/>
    <col min="8" max="8" width="10.8515625" style="118" customWidth="1"/>
    <col min="9" max="9" width="11.00390625" style="118" customWidth="1"/>
    <col min="10" max="10" width="10.57421875" style="118" customWidth="1"/>
    <col min="11" max="11" width="11.140625" style="118" customWidth="1"/>
    <col min="12" max="12" width="8.421875" style="118" customWidth="1"/>
    <col min="13" max="13" width="10.28125" style="118" customWidth="1"/>
    <col min="14" max="14" width="8.7109375" style="118" customWidth="1"/>
    <col min="15" max="16384" width="9.140625" style="118" customWidth="1"/>
  </cols>
  <sheetData>
    <row r="1" ht="12.75">
      <c r="J1" s="116" t="s">
        <v>611</v>
      </c>
    </row>
    <row r="2" ht="12.75">
      <c r="J2" s="4" t="s">
        <v>499</v>
      </c>
    </row>
    <row r="3" ht="15.75" customHeight="1">
      <c r="J3" s="4" t="s">
        <v>65</v>
      </c>
    </row>
    <row r="4" ht="10.5" customHeight="1"/>
    <row r="5" spans="1:13" ht="30" customHeight="1">
      <c r="A5" s="634" t="s">
        <v>612</v>
      </c>
      <c r="B5" s="634"/>
      <c r="C5" s="634"/>
      <c r="D5" s="634"/>
      <c r="E5" s="634"/>
      <c r="F5" s="634"/>
      <c r="G5" s="634"/>
      <c r="H5" s="634"/>
      <c r="I5" s="634"/>
      <c r="J5" s="634"/>
      <c r="K5" s="634"/>
      <c r="L5" s="634"/>
      <c r="M5" s="634"/>
    </row>
    <row r="6" spans="4:13" ht="12.75" customHeight="1">
      <c r="D6" s="635"/>
      <c r="E6" s="635"/>
      <c r="F6" s="635"/>
      <c r="G6" s="635"/>
      <c r="H6" s="635"/>
      <c r="I6" s="635"/>
      <c r="J6" s="635"/>
      <c r="K6" s="635"/>
      <c r="L6" s="635"/>
      <c r="M6" s="635"/>
    </row>
    <row r="7" spans="1:13" ht="12.75" customHeight="1">
      <c r="A7" s="636" t="s">
        <v>613</v>
      </c>
      <c r="B7" s="636"/>
      <c r="C7" s="636"/>
      <c r="D7" s="636"/>
      <c r="E7" s="636"/>
      <c r="F7" s="636"/>
      <c r="G7" s="636"/>
      <c r="H7" s="636"/>
      <c r="I7" s="636"/>
      <c r="J7" s="636"/>
      <c r="K7" s="636"/>
      <c r="L7" s="636"/>
      <c r="M7" s="636"/>
    </row>
    <row r="9" spans="1:13" ht="27" customHeight="1">
      <c r="A9" s="615" t="s">
        <v>295</v>
      </c>
      <c r="B9" s="632" t="s">
        <v>296</v>
      </c>
      <c r="C9" s="632"/>
      <c r="D9" s="632"/>
      <c r="E9" s="615" t="s">
        <v>305</v>
      </c>
      <c r="F9" s="615" t="s">
        <v>307</v>
      </c>
      <c r="G9" s="615" t="s">
        <v>309</v>
      </c>
      <c r="H9" s="615"/>
      <c r="I9" s="615"/>
      <c r="J9" s="615" t="s">
        <v>614</v>
      </c>
      <c r="K9" s="615"/>
      <c r="L9" s="615" t="s">
        <v>313</v>
      </c>
      <c r="M9" s="637" t="s">
        <v>506</v>
      </c>
    </row>
    <row r="10" spans="1:13" ht="84" customHeight="1">
      <c r="A10" s="615"/>
      <c r="B10" s="632"/>
      <c r="C10" s="632"/>
      <c r="D10" s="632"/>
      <c r="E10" s="615"/>
      <c r="F10" s="615"/>
      <c r="G10" s="12" t="s">
        <v>615</v>
      </c>
      <c r="H10" s="12" t="s">
        <v>616</v>
      </c>
      <c r="I10" s="12" t="s">
        <v>617</v>
      </c>
      <c r="J10" s="12" t="s">
        <v>618</v>
      </c>
      <c r="K10" s="12" t="s">
        <v>619</v>
      </c>
      <c r="L10" s="615"/>
      <c r="M10" s="637"/>
    </row>
    <row r="11" spans="1:13" ht="12.75">
      <c r="A11" s="119">
        <v>1</v>
      </c>
      <c r="B11" s="120"/>
      <c r="C11" s="121"/>
      <c r="D11" s="122">
        <v>2</v>
      </c>
      <c r="E11" s="123">
        <v>3</v>
      </c>
      <c r="F11" s="123">
        <v>4</v>
      </c>
      <c r="G11" s="123">
        <v>5</v>
      </c>
      <c r="H11" s="123">
        <v>6</v>
      </c>
      <c r="I11" s="123">
        <v>7</v>
      </c>
      <c r="J11" s="123">
        <v>8</v>
      </c>
      <c r="K11" s="123">
        <v>9</v>
      </c>
      <c r="L11" s="123">
        <v>10</v>
      </c>
      <c r="M11" s="264">
        <v>11</v>
      </c>
    </row>
    <row r="12" spans="1:13" ht="24.75" customHeight="1">
      <c r="A12" s="94" t="s">
        <v>509</v>
      </c>
      <c r="B12" s="577" t="s">
        <v>620</v>
      </c>
      <c r="C12" s="577"/>
      <c r="D12" s="577"/>
      <c r="E12" s="419">
        <v>8850</v>
      </c>
      <c r="F12" s="419">
        <v>5654</v>
      </c>
      <c r="G12" s="419"/>
      <c r="H12" s="419"/>
      <c r="I12" s="419">
        <v>62000</v>
      </c>
      <c r="J12" s="419"/>
      <c r="K12" s="419"/>
      <c r="L12" s="419"/>
      <c r="M12" s="420">
        <f>SUM(E12:L12)</f>
        <v>76504</v>
      </c>
    </row>
    <row r="13" spans="1:13" ht="12.75">
      <c r="A13" s="336" t="s">
        <v>510</v>
      </c>
      <c r="B13" s="337"/>
      <c r="C13" s="338" t="s">
        <v>621</v>
      </c>
      <c r="D13" s="339"/>
      <c r="E13" s="420">
        <f>E14+E15</f>
        <v>0</v>
      </c>
      <c r="F13" s="420">
        <f aca="true" t="shared" si="0" ref="F13:L13">F14+F15</f>
        <v>598</v>
      </c>
      <c r="G13" s="420">
        <f t="shared" si="0"/>
        <v>0</v>
      </c>
      <c r="H13" s="420">
        <f t="shared" si="0"/>
        <v>0</v>
      </c>
      <c r="I13" s="420">
        <f t="shared" si="0"/>
        <v>0</v>
      </c>
      <c r="J13" s="420">
        <f t="shared" si="0"/>
        <v>0</v>
      </c>
      <c r="K13" s="420">
        <f t="shared" si="0"/>
        <v>0</v>
      </c>
      <c r="L13" s="420">
        <f t="shared" si="0"/>
        <v>0</v>
      </c>
      <c r="M13" s="420">
        <f aca="true" t="shared" si="1" ref="M13:M40">SUM(E13:L13)</f>
        <v>598</v>
      </c>
    </row>
    <row r="14" spans="1:13" ht="12.75">
      <c r="A14" s="127" t="s">
        <v>622</v>
      </c>
      <c r="B14" s="128"/>
      <c r="C14" s="121"/>
      <c r="D14" s="129" t="s">
        <v>623</v>
      </c>
      <c r="E14" s="419"/>
      <c r="F14" s="421">
        <v>598</v>
      </c>
      <c r="G14" s="419"/>
      <c r="H14" s="419"/>
      <c r="I14" s="419"/>
      <c r="J14" s="419"/>
      <c r="K14" s="419"/>
      <c r="L14" s="419"/>
      <c r="M14" s="420">
        <f t="shared" si="1"/>
        <v>598</v>
      </c>
    </row>
    <row r="15" spans="1:13" ht="15.75" customHeight="1">
      <c r="A15" s="130" t="s">
        <v>624</v>
      </c>
      <c r="B15" s="121"/>
      <c r="C15" s="121"/>
      <c r="D15" s="129" t="s">
        <v>625</v>
      </c>
      <c r="E15" s="419"/>
      <c r="F15" s="421"/>
      <c r="G15" s="419"/>
      <c r="H15" s="419"/>
      <c r="I15" s="419"/>
      <c r="J15" s="419"/>
      <c r="K15" s="419"/>
      <c r="L15" s="419"/>
      <c r="M15" s="420">
        <f t="shared" si="1"/>
        <v>0</v>
      </c>
    </row>
    <row r="16" spans="1:13" ht="28.5" customHeight="1">
      <c r="A16" s="340" t="s">
        <v>513</v>
      </c>
      <c r="B16" s="341"/>
      <c r="C16" s="631" t="s">
        <v>626</v>
      </c>
      <c r="D16" s="631"/>
      <c r="E16" s="420">
        <f>E17+E18+E19</f>
        <v>0</v>
      </c>
      <c r="F16" s="420">
        <f aca="true" t="shared" si="2" ref="F16:L16">F17+F18+F19</f>
        <v>0</v>
      </c>
      <c r="G16" s="420">
        <f t="shared" si="2"/>
        <v>0</v>
      </c>
      <c r="H16" s="420">
        <f t="shared" si="2"/>
        <v>0</v>
      </c>
      <c r="I16" s="420">
        <f t="shared" si="2"/>
        <v>0</v>
      </c>
      <c r="J16" s="420">
        <f t="shared" si="2"/>
        <v>0</v>
      </c>
      <c r="K16" s="420">
        <f t="shared" si="2"/>
        <v>0</v>
      </c>
      <c r="L16" s="420">
        <f t="shared" si="2"/>
        <v>0</v>
      </c>
      <c r="M16" s="420">
        <f t="shared" si="1"/>
        <v>0</v>
      </c>
    </row>
    <row r="17" spans="1:13" ht="12.75">
      <c r="A17" s="127" t="s">
        <v>627</v>
      </c>
      <c r="B17" s="131"/>
      <c r="C17" s="121"/>
      <c r="D17" s="129" t="s">
        <v>628</v>
      </c>
      <c r="E17" s="419"/>
      <c r="F17" s="419"/>
      <c r="G17" s="419"/>
      <c r="H17" s="419"/>
      <c r="I17" s="419"/>
      <c r="J17" s="419"/>
      <c r="K17" s="419"/>
      <c r="L17" s="419"/>
      <c r="M17" s="420">
        <f t="shared" si="1"/>
        <v>0</v>
      </c>
    </row>
    <row r="18" spans="1:13" ht="12.75">
      <c r="A18" s="127" t="s">
        <v>629</v>
      </c>
      <c r="B18" s="131"/>
      <c r="C18" s="121"/>
      <c r="D18" s="129" t="s">
        <v>630</v>
      </c>
      <c r="E18" s="419"/>
      <c r="F18" s="419"/>
      <c r="G18" s="419"/>
      <c r="H18" s="419"/>
      <c r="I18" s="419"/>
      <c r="J18" s="419"/>
      <c r="K18" s="419"/>
      <c r="L18" s="419"/>
      <c r="M18" s="420">
        <f t="shared" si="1"/>
        <v>0</v>
      </c>
    </row>
    <row r="19" spans="1:13" ht="12.75">
      <c r="A19" s="127" t="s">
        <v>631</v>
      </c>
      <c r="B19" s="131"/>
      <c r="C19" s="121"/>
      <c r="D19" s="129" t="s">
        <v>632</v>
      </c>
      <c r="E19" s="419"/>
      <c r="F19" s="419"/>
      <c r="G19" s="419"/>
      <c r="H19" s="419"/>
      <c r="I19" s="419"/>
      <c r="J19" s="419"/>
      <c r="K19" s="419"/>
      <c r="L19" s="419"/>
      <c r="M19" s="420">
        <f t="shared" si="1"/>
        <v>0</v>
      </c>
    </row>
    <row r="20" spans="1:13" ht="12.75">
      <c r="A20" s="124" t="s">
        <v>515</v>
      </c>
      <c r="B20" s="132"/>
      <c r="C20" s="133" t="s">
        <v>633</v>
      </c>
      <c r="D20" s="134"/>
      <c r="E20" s="419"/>
      <c r="F20" s="419"/>
      <c r="G20" s="419"/>
      <c r="H20" s="419"/>
      <c r="I20" s="419"/>
      <c r="J20" s="419"/>
      <c r="K20" s="419"/>
      <c r="L20" s="419"/>
      <c r="M20" s="420">
        <f t="shared" si="1"/>
        <v>0</v>
      </c>
    </row>
    <row r="21" spans="1:13" ht="24.75" customHeight="1">
      <c r="A21" s="331" t="s">
        <v>517</v>
      </c>
      <c r="B21" s="633" t="s">
        <v>634</v>
      </c>
      <c r="C21" s="633"/>
      <c r="D21" s="633"/>
      <c r="E21" s="420">
        <f>E12+E13-E16+E20</f>
        <v>8850</v>
      </c>
      <c r="F21" s="420">
        <f aca="true" t="shared" si="3" ref="F21:L21">F12+F13-F16+F20</f>
        <v>6252</v>
      </c>
      <c r="G21" s="420">
        <f t="shared" si="3"/>
        <v>0</v>
      </c>
      <c r="H21" s="420">
        <f t="shared" si="3"/>
        <v>0</v>
      </c>
      <c r="I21" s="420">
        <f t="shared" si="3"/>
        <v>62000</v>
      </c>
      <c r="J21" s="420">
        <f t="shared" si="3"/>
        <v>0</v>
      </c>
      <c r="K21" s="420">
        <f t="shared" si="3"/>
        <v>0</v>
      </c>
      <c r="L21" s="420">
        <f t="shared" si="3"/>
        <v>0</v>
      </c>
      <c r="M21" s="420">
        <f t="shared" si="1"/>
        <v>77102</v>
      </c>
    </row>
    <row r="22" spans="1:13" ht="24.75" customHeight="1">
      <c r="A22" s="94" t="s">
        <v>519</v>
      </c>
      <c r="B22" s="577" t="s">
        <v>635</v>
      </c>
      <c r="C22" s="577"/>
      <c r="D22" s="577"/>
      <c r="E22" s="417" t="s">
        <v>636</v>
      </c>
      <c r="F22" s="419">
        <v>5654</v>
      </c>
      <c r="G22" s="419"/>
      <c r="H22" s="417" t="s">
        <v>636</v>
      </c>
      <c r="I22" s="417">
        <v>62000</v>
      </c>
      <c r="J22" s="417" t="s">
        <v>636</v>
      </c>
      <c r="K22" s="417" t="s">
        <v>636</v>
      </c>
      <c r="L22" s="417"/>
      <c r="M22" s="420">
        <f t="shared" si="1"/>
        <v>67654</v>
      </c>
    </row>
    <row r="23" spans="1:13" ht="30" customHeight="1">
      <c r="A23" s="124" t="s">
        <v>521</v>
      </c>
      <c r="B23" s="135"/>
      <c r="C23" s="563" t="s">
        <v>637</v>
      </c>
      <c r="D23" s="563"/>
      <c r="E23" s="417" t="s">
        <v>636</v>
      </c>
      <c r="F23" s="419"/>
      <c r="G23" s="419"/>
      <c r="H23" s="417" t="s">
        <v>636</v>
      </c>
      <c r="I23" s="417"/>
      <c r="J23" s="417" t="s">
        <v>636</v>
      </c>
      <c r="K23" s="417" t="s">
        <v>636</v>
      </c>
      <c r="L23" s="417"/>
      <c r="M23" s="420">
        <f t="shared" si="1"/>
        <v>0</v>
      </c>
    </row>
    <row r="24" spans="1:13" ht="26.25" customHeight="1">
      <c r="A24" s="124" t="s">
        <v>523</v>
      </c>
      <c r="B24" s="125"/>
      <c r="C24" s="565" t="s">
        <v>638</v>
      </c>
      <c r="D24" s="565"/>
      <c r="E24" s="417" t="s">
        <v>636</v>
      </c>
      <c r="F24" s="419">
        <v>33.6</v>
      </c>
      <c r="G24" s="419"/>
      <c r="H24" s="417" t="s">
        <v>636</v>
      </c>
      <c r="I24" s="417"/>
      <c r="J24" s="417" t="s">
        <v>636</v>
      </c>
      <c r="K24" s="417" t="s">
        <v>636</v>
      </c>
      <c r="L24" s="417"/>
      <c r="M24" s="420">
        <f t="shared" si="1"/>
        <v>33.6</v>
      </c>
    </row>
    <row r="25" spans="1:13" ht="24.75" customHeight="1">
      <c r="A25" s="336" t="s">
        <v>525</v>
      </c>
      <c r="B25" s="337"/>
      <c r="C25" s="566" t="s">
        <v>639</v>
      </c>
      <c r="D25" s="566"/>
      <c r="E25" s="396" t="s">
        <v>636</v>
      </c>
      <c r="F25" s="420">
        <f>F26+F27+F28</f>
        <v>0</v>
      </c>
      <c r="G25" s="420">
        <f>G26+G27+G28</f>
        <v>0</v>
      </c>
      <c r="H25" s="396" t="s">
        <v>636</v>
      </c>
      <c r="I25" s="420">
        <f>I26+I27+I28</f>
        <v>0</v>
      </c>
      <c r="J25" s="396" t="s">
        <v>636</v>
      </c>
      <c r="K25" s="396" t="s">
        <v>636</v>
      </c>
      <c r="L25" s="420">
        <f>L26+L27+L28</f>
        <v>0</v>
      </c>
      <c r="M25" s="420">
        <f t="shared" si="1"/>
        <v>0</v>
      </c>
    </row>
    <row r="26" spans="1:13" ht="12.75">
      <c r="A26" s="127" t="s">
        <v>640</v>
      </c>
      <c r="B26" s="128"/>
      <c r="C26" s="137"/>
      <c r="D26" s="138" t="s">
        <v>628</v>
      </c>
      <c r="E26" s="422" t="s">
        <v>636</v>
      </c>
      <c r="F26" s="423"/>
      <c r="G26" s="423"/>
      <c r="H26" s="422" t="s">
        <v>636</v>
      </c>
      <c r="I26" s="422"/>
      <c r="J26" s="422" t="s">
        <v>636</v>
      </c>
      <c r="K26" s="422" t="s">
        <v>636</v>
      </c>
      <c r="L26" s="422"/>
      <c r="M26" s="420">
        <f t="shared" si="1"/>
        <v>0</v>
      </c>
    </row>
    <row r="27" spans="1:13" ht="12.75">
      <c r="A27" s="127" t="s">
        <v>641</v>
      </c>
      <c r="B27" s="128"/>
      <c r="C27" s="137"/>
      <c r="D27" s="138" t="s">
        <v>630</v>
      </c>
      <c r="E27" s="422" t="s">
        <v>636</v>
      </c>
      <c r="F27" s="423"/>
      <c r="G27" s="423"/>
      <c r="H27" s="422" t="s">
        <v>636</v>
      </c>
      <c r="I27" s="422"/>
      <c r="J27" s="422" t="s">
        <v>636</v>
      </c>
      <c r="K27" s="422" t="s">
        <v>636</v>
      </c>
      <c r="L27" s="422"/>
      <c r="M27" s="420">
        <f t="shared" si="1"/>
        <v>0</v>
      </c>
    </row>
    <row r="28" spans="1:13" ht="12.75">
      <c r="A28" s="127" t="s">
        <v>642</v>
      </c>
      <c r="B28" s="128"/>
      <c r="C28" s="137"/>
      <c r="D28" s="138" t="s">
        <v>632</v>
      </c>
      <c r="E28" s="422" t="s">
        <v>636</v>
      </c>
      <c r="F28" s="423"/>
      <c r="G28" s="423"/>
      <c r="H28" s="422" t="s">
        <v>636</v>
      </c>
      <c r="I28" s="422"/>
      <c r="J28" s="422" t="s">
        <v>636</v>
      </c>
      <c r="K28" s="422" t="s">
        <v>636</v>
      </c>
      <c r="L28" s="422"/>
      <c r="M28" s="420">
        <f t="shared" si="1"/>
        <v>0</v>
      </c>
    </row>
    <row r="29" spans="1:13" ht="12.75">
      <c r="A29" s="119" t="s">
        <v>526</v>
      </c>
      <c r="B29" s="131"/>
      <c r="C29" s="139" t="s">
        <v>633</v>
      </c>
      <c r="D29" s="129"/>
      <c r="E29" s="417" t="s">
        <v>636</v>
      </c>
      <c r="F29" s="419"/>
      <c r="G29" s="419"/>
      <c r="H29" s="417" t="s">
        <v>636</v>
      </c>
      <c r="I29" s="417"/>
      <c r="J29" s="417" t="s">
        <v>636</v>
      </c>
      <c r="K29" s="417" t="s">
        <v>636</v>
      </c>
      <c r="L29" s="417"/>
      <c r="M29" s="420">
        <f t="shared" si="1"/>
        <v>0</v>
      </c>
    </row>
    <row r="30" spans="1:13" ht="24.75" customHeight="1">
      <c r="A30" s="331" t="s">
        <v>527</v>
      </c>
      <c r="B30" s="629" t="s">
        <v>643</v>
      </c>
      <c r="C30" s="629"/>
      <c r="D30" s="629"/>
      <c r="E30" s="396" t="s">
        <v>636</v>
      </c>
      <c r="F30" s="420">
        <f>F22+F23+F24-F25+F29</f>
        <v>5687.6</v>
      </c>
      <c r="G30" s="420">
        <f>G22+G23+G24-G25+G29</f>
        <v>0</v>
      </c>
      <c r="H30" s="396" t="s">
        <v>636</v>
      </c>
      <c r="I30" s="420">
        <f>I22+I23+I24-I25+I29</f>
        <v>62000</v>
      </c>
      <c r="J30" s="396" t="s">
        <v>636</v>
      </c>
      <c r="K30" s="396" t="s">
        <v>636</v>
      </c>
      <c r="L30" s="420">
        <f>L22+L23+L24-L25+L29</f>
        <v>0</v>
      </c>
      <c r="M30" s="420">
        <f t="shared" si="1"/>
        <v>67687.6</v>
      </c>
    </row>
    <row r="31" spans="1:13" ht="24.75" customHeight="1">
      <c r="A31" s="124" t="s">
        <v>528</v>
      </c>
      <c r="B31" s="577" t="s">
        <v>644</v>
      </c>
      <c r="C31" s="577"/>
      <c r="D31" s="577"/>
      <c r="E31" s="419"/>
      <c r="F31" s="419"/>
      <c r="G31" s="419"/>
      <c r="H31" s="419"/>
      <c r="I31" s="419"/>
      <c r="J31" s="419"/>
      <c r="K31" s="419"/>
      <c r="L31" s="419"/>
      <c r="M31" s="420">
        <f t="shared" si="1"/>
        <v>0</v>
      </c>
    </row>
    <row r="32" spans="1:13" ht="24.75" customHeight="1">
      <c r="A32" s="124" t="s">
        <v>529</v>
      </c>
      <c r="B32" s="135"/>
      <c r="C32" s="563" t="s">
        <v>645</v>
      </c>
      <c r="D32" s="563"/>
      <c r="E32" s="419"/>
      <c r="F32" s="419"/>
      <c r="G32" s="419"/>
      <c r="H32" s="419"/>
      <c r="I32" s="419"/>
      <c r="J32" s="419"/>
      <c r="K32" s="419"/>
      <c r="L32" s="419"/>
      <c r="M32" s="420">
        <f t="shared" si="1"/>
        <v>0</v>
      </c>
    </row>
    <row r="33" spans="1:13" ht="33" customHeight="1">
      <c r="A33" s="124" t="s">
        <v>530</v>
      </c>
      <c r="B33" s="125"/>
      <c r="C33" s="564" t="s">
        <v>646</v>
      </c>
      <c r="D33" s="564"/>
      <c r="E33" s="419"/>
      <c r="F33" s="419"/>
      <c r="G33" s="419"/>
      <c r="H33" s="419"/>
      <c r="I33" s="419"/>
      <c r="J33" s="419"/>
      <c r="K33" s="419"/>
      <c r="L33" s="419"/>
      <c r="M33" s="420">
        <f t="shared" si="1"/>
        <v>0</v>
      </c>
    </row>
    <row r="34" spans="1:13" ht="29.25" customHeight="1">
      <c r="A34" s="124" t="s">
        <v>531</v>
      </c>
      <c r="B34" s="125"/>
      <c r="C34" s="565" t="s">
        <v>647</v>
      </c>
      <c r="D34" s="565"/>
      <c r="E34" s="419"/>
      <c r="F34" s="419"/>
      <c r="G34" s="419"/>
      <c r="H34" s="419"/>
      <c r="I34" s="419"/>
      <c r="J34" s="419"/>
      <c r="K34" s="419"/>
      <c r="L34" s="419"/>
      <c r="M34" s="420">
        <f t="shared" si="1"/>
        <v>0</v>
      </c>
    </row>
    <row r="35" spans="1:13" ht="24.75" customHeight="1">
      <c r="A35" s="331" t="s">
        <v>533</v>
      </c>
      <c r="B35" s="337"/>
      <c r="C35" s="566" t="s">
        <v>648</v>
      </c>
      <c r="D35" s="566"/>
      <c r="E35" s="420">
        <f>E36+E37+E38</f>
        <v>0</v>
      </c>
      <c r="F35" s="420">
        <f aca="true" t="shared" si="4" ref="F35:L35">F36+F37+F38</f>
        <v>0</v>
      </c>
      <c r="G35" s="420">
        <f t="shared" si="4"/>
        <v>0</v>
      </c>
      <c r="H35" s="420">
        <f t="shared" si="4"/>
        <v>0</v>
      </c>
      <c r="I35" s="420">
        <f t="shared" si="4"/>
        <v>0</v>
      </c>
      <c r="J35" s="420">
        <f t="shared" si="4"/>
        <v>0</v>
      </c>
      <c r="K35" s="420">
        <f t="shared" si="4"/>
        <v>0</v>
      </c>
      <c r="L35" s="420">
        <f t="shared" si="4"/>
        <v>0</v>
      </c>
      <c r="M35" s="420">
        <f t="shared" si="1"/>
        <v>0</v>
      </c>
    </row>
    <row r="36" spans="1:13" ht="12.75">
      <c r="A36" s="127" t="s">
        <v>649</v>
      </c>
      <c r="B36" s="128"/>
      <c r="C36" s="137"/>
      <c r="D36" s="138" t="s">
        <v>628</v>
      </c>
      <c r="E36" s="419"/>
      <c r="F36" s="419"/>
      <c r="G36" s="419"/>
      <c r="H36" s="419"/>
      <c r="I36" s="419"/>
      <c r="J36" s="419"/>
      <c r="K36" s="419"/>
      <c r="L36" s="419"/>
      <c r="M36" s="420">
        <f t="shared" si="1"/>
        <v>0</v>
      </c>
    </row>
    <row r="37" spans="1:13" ht="12.75">
      <c r="A37" s="127" t="s">
        <v>650</v>
      </c>
      <c r="B37" s="128"/>
      <c r="C37" s="137"/>
      <c r="D37" s="138" t="s">
        <v>630</v>
      </c>
      <c r="E37" s="419"/>
      <c r="F37" s="419"/>
      <c r="G37" s="419"/>
      <c r="H37" s="419"/>
      <c r="I37" s="419"/>
      <c r="J37" s="419"/>
      <c r="K37" s="419"/>
      <c r="L37" s="419"/>
      <c r="M37" s="420">
        <f t="shared" si="1"/>
        <v>0</v>
      </c>
    </row>
    <row r="38" spans="1:13" ht="12.75">
      <c r="A38" s="127" t="s">
        <v>651</v>
      </c>
      <c r="B38" s="128"/>
      <c r="C38" s="137"/>
      <c r="D38" s="138" t="s">
        <v>632</v>
      </c>
      <c r="E38" s="419"/>
      <c r="F38" s="419"/>
      <c r="G38" s="419"/>
      <c r="H38" s="419"/>
      <c r="I38" s="419"/>
      <c r="J38" s="419"/>
      <c r="K38" s="419"/>
      <c r="L38" s="419"/>
      <c r="M38" s="420">
        <f t="shared" si="1"/>
        <v>0</v>
      </c>
    </row>
    <row r="39" spans="1:13" ht="12.75">
      <c r="A39" s="124" t="s">
        <v>534</v>
      </c>
      <c r="B39" s="125"/>
      <c r="C39" s="140" t="s">
        <v>633</v>
      </c>
      <c r="D39" s="126"/>
      <c r="E39" s="419"/>
      <c r="F39" s="419"/>
      <c r="G39" s="419"/>
      <c r="H39" s="419"/>
      <c r="I39" s="419"/>
      <c r="J39" s="419"/>
      <c r="K39" s="419"/>
      <c r="L39" s="419"/>
      <c r="M39" s="420">
        <f t="shared" si="1"/>
        <v>0</v>
      </c>
    </row>
    <row r="40" spans="1:13" ht="26.25" customHeight="1">
      <c r="A40" s="331" t="s">
        <v>652</v>
      </c>
      <c r="B40" s="629" t="s">
        <v>653</v>
      </c>
      <c r="C40" s="629"/>
      <c r="D40" s="629"/>
      <c r="E40" s="420">
        <f>E31+E32+E33-E34-E35+E39</f>
        <v>0</v>
      </c>
      <c r="F40" s="420">
        <f aca="true" t="shared" si="5" ref="F40:L40">F31+F32+F33-F34-F35+F39</f>
        <v>0</v>
      </c>
      <c r="G40" s="420">
        <f t="shared" si="5"/>
        <v>0</v>
      </c>
      <c r="H40" s="420">
        <f t="shared" si="5"/>
        <v>0</v>
      </c>
      <c r="I40" s="420">
        <f t="shared" si="5"/>
        <v>0</v>
      </c>
      <c r="J40" s="420">
        <f t="shared" si="5"/>
        <v>0</v>
      </c>
      <c r="K40" s="420">
        <f t="shared" si="5"/>
        <v>0</v>
      </c>
      <c r="L40" s="420">
        <f t="shared" si="5"/>
        <v>0</v>
      </c>
      <c r="M40" s="420">
        <f t="shared" si="1"/>
        <v>0</v>
      </c>
    </row>
    <row r="41" spans="1:13" ht="24.75" customHeight="1">
      <c r="A41" s="331" t="s">
        <v>654</v>
      </c>
      <c r="B41" s="630" t="s">
        <v>655</v>
      </c>
      <c r="C41" s="630"/>
      <c r="D41" s="630"/>
      <c r="E41" s="420">
        <f>IF(E21-E40=FBA!F22,E21-E40,0)</f>
        <v>8850</v>
      </c>
      <c r="F41" s="420">
        <f>IF(F21-F30-F40=FBA!F23,F21-F30-F40,0)</f>
        <v>564.3999999999996</v>
      </c>
      <c r="G41" s="420">
        <f>G21-G30-G40</f>
        <v>0</v>
      </c>
      <c r="H41" s="420">
        <f>H21-H40</f>
        <v>0</v>
      </c>
      <c r="I41" s="420">
        <f>I21-I30-I40</f>
        <v>0</v>
      </c>
      <c r="J41" s="420">
        <f>J21-J40</f>
        <v>0</v>
      </c>
      <c r="K41" s="420">
        <f>K21-K40</f>
        <v>0</v>
      </c>
      <c r="L41" s="420">
        <f>IF(L21-L30-L40=FBA!F21,L21-L30-L40,0)</f>
        <v>0</v>
      </c>
      <c r="M41" s="420">
        <f>IF(SUM(E41:L41)=FBA!F21,SUM(E41:L41),0)</f>
        <v>9414.4</v>
      </c>
    </row>
    <row r="42" spans="1:13" ht="24.75" customHeight="1">
      <c r="A42" s="331" t="s">
        <v>656</v>
      </c>
      <c r="B42" s="629" t="s">
        <v>657</v>
      </c>
      <c r="C42" s="629"/>
      <c r="D42" s="629"/>
      <c r="E42" s="420">
        <f>IF(E12-E31=FBA!G22,E12-E31,0)</f>
        <v>8850</v>
      </c>
      <c r="F42" s="420">
        <f>IF(F12-F22-F31=FBA!G23,F12-F22-F31,0)</f>
        <v>0</v>
      </c>
      <c r="G42" s="420">
        <f>G12-G22-G31</f>
        <v>0</v>
      </c>
      <c r="H42" s="420">
        <f>H12-H31</f>
        <v>0</v>
      </c>
      <c r="I42" s="420">
        <f>I12-I22-I31</f>
        <v>0</v>
      </c>
      <c r="J42" s="420">
        <f>J12-J31</f>
        <v>0</v>
      </c>
      <c r="K42" s="420">
        <f>K12-K31</f>
        <v>0</v>
      </c>
      <c r="L42" s="420">
        <f>IF(L12-L22-L31=FBA!G26,L12-L22-L31,0)</f>
        <v>0</v>
      </c>
      <c r="M42" s="420">
        <f>IF(SUM(E42:L42)=FBA!G21,SUM(E42:L42),0)</f>
        <v>8850</v>
      </c>
    </row>
    <row r="43" spans="1:6" ht="12.75">
      <c r="A43" s="141" t="s">
        <v>658</v>
      </c>
      <c r="B43" s="141"/>
      <c r="C43" s="141"/>
      <c r="D43" s="141"/>
      <c r="E43" s="141"/>
      <c r="F43" s="141"/>
    </row>
    <row r="44" ht="12.75">
      <c r="A44" s="80" t="s">
        <v>659</v>
      </c>
    </row>
  </sheetData>
  <sheetProtection/>
  <mergeCells count="27">
    <mergeCell ref="A5:M5"/>
    <mergeCell ref="D6:M6"/>
    <mergeCell ref="A7:M7"/>
    <mergeCell ref="C25:D25"/>
    <mergeCell ref="J9:K9"/>
    <mergeCell ref="L9:L10"/>
    <mergeCell ref="M9:M10"/>
    <mergeCell ref="E9:E10"/>
    <mergeCell ref="F9:F10"/>
    <mergeCell ref="G9:I9"/>
    <mergeCell ref="B30:D30"/>
    <mergeCell ref="C16:D16"/>
    <mergeCell ref="A9:A10"/>
    <mergeCell ref="B9:D10"/>
    <mergeCell ref="B21:D21"/>
    <mergeCell ref="B22:D22"/>
    <mergeCell ref="C23:D23"/>
    <mergeCell ref="C24:D24"/>
    <mergeCell ref="B12:D12"/>
    <mergeCell ref="C35:D35"/>
    <mergeCell ref="B40:D40"/>
    <mergeCell ref="B41:D41"/>
    <mergeCell ref="B42:D42"/>
    <mergeCell ref="B31:D31"/>
    <mergeCell ref="C32:D32"/>
    <mergeCell ref="C33:D33"/>
    <mergeCell ref="C34:D34"/>
  </mergeCells>
  <printOptions/>
  <pageMargins left="0.5511811023622047" right="0.15748031496062992"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68"/>
  <sheetViews>
    <sheetView zoomScalePageLayoutView="0" workbookViewId="0" topLeftCell="A1">
      <pane ySplit="2370" topLeftCell="BM16" activePane="topLeft" state="split"/>
      <selection pane="topLeft" activeCell="N3" sqref="N3"/>
      <selection pane="bottomLeft" activeCell="O50" sqref="O50"/>
    </sheetView>
  </sheetViews>
  <sheetFormatPr defaultColWidth="9.140625" defaultRowHeight="12.75"/>
  <cols>
    <col min="1" max="1" width="5.8515625" style="78" customWidth="1"/>
    <col min="2" max="2" width="0.2890625" style="67" customWidth="1"/>
    <col min="3" max="3" width="1.57421875" style="67" customWidth="1"/>
    <col min="4" max="4" width="20.140625" style="67" customWidth="1"/>
    <col min="5" max="5" width="7.28125" style="67" customWidth="1"/>
    <col min="6" max="6" width="6.57421875" style="67" customWidth="1"/>
    <col min="7" max="7" width="11.140625" style="67" customWidth="1"/>
    <col min="8" max="8" width="10.7109375" style="67" customWidth="1"/>
    <col min="9" max="9" width="8.28125" style="67" customWidth="1"/>
    <col min="10" max="10" width="9.28125" style="67" customWidth="1"/>
    <col min="11" max="11" width="10.421875" style="67" customWidth="1"/>
    <col min="12" max="12" width="8.28125" style="67" customWidth="1"/>
    <col min="13" max="13" width="9.00390625" style="67" customWidth="1"/>
    <col min="14" max="14" width="8.28125" style="67" customWidth="1"/>
    <col min="15" max="15" width="10.57421875" style="67" customWidth="1"/>
    <col min="16" max="17" width="8.28125" style="67" customWidth="1"/>
    <col min="18" max="18" width="12.00390625" style="67" customWidth="1"/>
    <col min="19" max="16384" width="9.140625" style="67" customWidth="1"/>
  </cols>
  <sheetData>
    <row r="1" spans="1:18" ht="12.75">
      <c r="A1" s="4"/>
      <c r="B1" s="142"/>
      <c r="C1" s="142"/>
      <c r="D1" s="142"/>
      <c r="E1" s="142"/>
      <c r="F1" s="142"/>
      <c r="G1" s="142"/>
      <c r="H1" s="142"/>
      <c r="I1" s="142"/>
      <c r="J1" s="142"/>
      <c r="K1" s="142"/>
      <c r="L1" s="142"/>
      <c r="N1" s="116" t="s">
        <v>660</v>
      </c>
      <c r="O1" s="143"/>
      <c r="P1" s="143"/>
      <c r="Q1" s="143"/>
      <c r="R1" s="143"/>
    </row>
    <row r="2" spans="1:17" ht="14.25" customHeight="1">
      <c r="A2" s="4"/>
      <c r="B2" s="142"/>
      <c r="C2" s="142"/>
      <c r="D2" s="142"/>
      <c r="E2" s="142"/>
      <c r="F2" s="142"/>
      <c r="G2" s="142"/>
      <c r="H2" s="142"/>
      <c r="I2" s="142"/>
      <c r="J2" s="142"/>
      <c r="K2" s="142"/>
      <c r="L2" s="142"/>
      <c r="M2" s="4"/>
      <c r="N2" s="4" t="s">
        <v>499</v>
      </c>
      <c r="O2" s="4"/>
      <c r="P2" s="4"/>
      <c r="Q2" s="4"/>
    </row>
    <row r="3" spans="1:17" ht="14.25" customHeight="1">
      <c r="A3" s="4"/>
      <c r="B3" s="142"/>
      <c r="C3" s="142"/>
      <c r="D3" s="142"/>
      <c r="E3" s="142"/>
      <c r="F3" s="142"/>
      <c r="G3" s="142"/>
      <c r="H3" s="142"/>
      <c r="I3" s="142"/>
      <c r="J3" s="142"/>
      <c r="K3" s="142"/>
      <c r="L3" s="142"/>
      <c r="M3" s="4"/>
      <c r="N3" s="4" t="s">
        <v>65</v>
      </c>
      <c r="O3" s="4"/>
      <c r="P3" s="4"/>
      <c r="Q3" s="4"/>
    </row>
    <row r="4" spans="1:18" ht="4.5" customHeight="1">
      <c r="A4" s="4"/>
      <c r="B4" s="142"/>
      <c r="C4" s="142"/>
      <c r="D4" s="142"/>
      <c r="E4" s="142"/>
      <c r="F4" s="142"/>
      <c r="G4" s="142"/>
      <c r="H4" s="142"/>
      <c r="I4" s="142"/>
      <c r="J4" s="142"/>
      <c r="K4" s="142"/>
      <c r="L4" s="142"/>
      <c r="M4" s="4"/>
      <c r="N4" s="4"/>
      <c r="O4" s="4"/>
      <c r="P4" s="4"/>
      <c r="Q4" s="4"/>
      <c r="R4" s="4"/>
    </row>
    <row r="5" spans="1:18" ht="31.5" customHeight="1">
      <c r="A5" s="641" t="s">
        <v>661</v>
      </c>
      <c r="B5" s="641"/>
      <c r="C5" s="641"/>
      <c r="D5" s="641"/>
      <c r="E5" s="641"/>
      <c r="F5" s="641"/>
      <c r="G5" s="641"/>
      <c r="H5" s="641"/>
      <c r="I5" s="641"/>
      <c r="J5" s="641"/>
      <c r="K5" s="641"/>
      <c r="L5" s="641"/>
      <c r="M5" s="641"/>
      <c r="N5" s="641"/>
      <c r="O5" s="641"/>
      <c r="P5" s="641"/>
      <c r="Q5" s="641"/>
      <c r="R5" s="641"/>
    </row>
    <row r="6" spans="1:18" ht="3" customHeight="1">
      <c r="A6" s="4"/>
      <c r="B6" s="142"/>
      <c r="C6" s="142"/>
      <c r="D6" s="142"/>
      <c r="E6" s="142"/>
      <c r="F6" s="142"/>
      <c r="G6" s="142"/>
      <c r="H6" s="142"/>
      <c r="I6" s="142"/>
      <c r="J6" s="142"/>
      <c r="K6" s="142"/>
      <c r="L6" s="142"/>
      <c r="M6" s="142"/>
      <c r="N6" s="142"/>
      <c r="O6" s="142"/>
      <c r="P6" s="142"/>
      <c r="Q6" s="142"/>
      <c r="R6" s="142"/>
    </row>
    <row r="7" spans="1:18" ht="22.5" customHeight="1">
      <c r="A7" s="641" t="s">
        <v>662</v>
      </c>
      <c r="B7" s="641"/>
      <c r="C7" s="641"/>
      <c r="D7" s="641"/>
      <c r="E7" s="641"/>
      <c r="F7" s="641"/>
      <c r="G7" s="641"/>
      <c r="H7" s="641"/>
      <c r="I7" s="641"/>
      <c r="J7" s="641"/>
      <c r="K7" s="641"/>
      <c r="L7" s="641"/>
      <c r="M7" s="641"/>
      <c r="N7" s="641"/>
      <c r="O7" s="641"/>
      <c r="P7" s="641"/>
      <c r="Q7" s="641"/>
      <c r="R7" s="641"/>
    </row>
    <row r="8" spans="1:18" ht="4.5" customHeight="1">
      <c r="A8" s="4"/>
      <c r="B8" s="142"/>
      <c r="C8" s="142"/>
      <c r="D8" s="142"/>
      <c r="E8" s="142"/>
      <c r="F8" s="142"/>
      <c r="G8" s="142"/>
      <c r="H8" s="142"/>
      <c r="I8" s="142"/>
      <c r="J8" s="142"/>
      <c r="K8" s="142"/>
      <c r="L8" s="142"/>
      <c r="M8" s="142"/>
      <c r="N8" s="142"/>
      <c r="O8" s="142"/>
      <c r="P8" s="142"/>
      <c r="Q8" s="142"/>
      <c r="R8" s="142"/>
    </row>
    <row r="9" spans="1:18" ht="27" customHeight="1">
      <c r="A9" s="598" t="s">
        <v>663</v>
      </c>
      <c r="B9" s="642" t="s">
        <v>296</v>
      </c>
      <c r="C9" s="642"/>
      <c r="D9" s="642"/>
      <c r="E9" s="598" t="s">
        <v>317</v>
      </c>
      <c r="F9" s="598" t="s">
        <v>319</v>
      </c>
      <c r="G9" s="598"/>
      <c r="H9" s="598" t="s">
        <v>664</v>
      </c>
      <c r="I9" s="598" t="s">
        <v>665</v>
      </c>
      <c r="J9" s="598" t="s">
        <v>325</v>
      </c>
      <c r="K9" s="598" t="s">
        <v>666</v>
      </c>
      <c r="L9" s="598" t="s">
        <v>667</v>
      </c>
      <c r="M9" s="598" t="s">
        <v>331</v>
      </c>
      <c r="N9" s="598" t="s">
        <v>668</v>
      </c>
      <c r="O9" s="598"/>
      <c r="P9" s="598" t="s">
        <v>669</v>
      </c>
      <c r="Q9" s="598" t="s">
        <v>670</v>
      </c>
      <c r="R9" s="643" t="s">
        <v>506</v>
      </c>
    </row>
    <row r="10" spans="1:18" ht="51">
      <c r="A10" s="598"/>
      <c r="B10" s="642"/>
      <c r="C10" s="642"/>
      <c r="D10" s="642"/>
      <c r="E10" s="598"/>
      <c r="F10" s="83" t="s">
        <v>671</v>
      </c>
      <c r="G10" s="83" t="s">
        <v>672</v>
      </c>
      <c r="H10" s="598"/>
      <c r="I10" s="598"/>
      <c r="J10" s="598"/>
      <c r="K10" s="598"/>
      <c r="L10" s="598"/>
      <c r="M10" s="598"/>
      <c r="N10" s="83" t="s">
        <v>673</v>
      </c>
      <c r="O10" s="83" t="s">
        <v>668</v>
      </c>
      <c r="P10" s="598"/>
      <c r="Q10" s="598"/>
      <c r="R10" s="643"/>
    </row>
    <row r="11" spans="1:18" ht="12.75" customHeight="1">
      <c r="A11" s="144">
        <v>1</v>
      </c>
      <c r="B11" s="644">
        <v>2</v>
      </c>
      <c r="C11" s="644"/>
      <c r="D11" s="644"/>
      <c r="E11" s="144">
        <v>3</v>
      </c>
      <c r="F11" s="144">
        <v>4</v>
      </c>
      <c r="G11" s="144">
        <v>5</v>
      </c>
      <c r="H11" s="144">
        <v>6</v>
      </c>
      <c r="I11" s="144">
        <v>7</v>
      </c>
      <c r="J11" s="144">
        <v>8</v>
      </c>
      <c r="K11" s="144">
        <v>9</v>
      </c>
      <c r="L11" s="144">
        <v>10</v>
      </c>
      <c r="M11" s="144">
        <v>11</v>
      </c>
      <c r="N11" s="144">
        <v>12</v>
      </c>
      <c r="O11" s="144">
        <v>13</v>
      </c>
      <c r="P11" s="144">
        <v>14</v>
      </c>
      <c r="Q11" s="144">
        <v>15</v>
      </c>
      <c r="R11" s="344">
        <v>16</v>
      </c>
    </row>
    <row r="12" spans="1:18" ht="39.75" customHeight="1">
      <c r="A12" s="145" t="s">
        <v>509</v>
      </c>
      <c r="B12" s="645" t="s">
        <v>620</v>
      </c>
      <c r="C12" s="645"/>
      <c r="D12" s="645"/>
      <c r="E12" s="234"/>
      <c r="F12" s="234"/>
      <c r="G12" s="234">
        <v>38944146.1</v>
      </c>
      <c r="H12" s="234">
        <v>1548777</v>
      </c>
      <c r="I12" s="234"/>
      <c r="J12" s="234">
        <v>592003.72</v>
      </c>
      <c r="K12" s="234">
        <v>189454</v>
      </c>
      <c r="L12" s="234"/>
      <c r="M12" s="234">
        <v>67158.79</v>
      </c>
      <c r="N12" s="234"/>
      <c r="O12" s="234">
        <v>361601.71</v>
      </c>
      <c r="P12" s="234"/>
      <c r="Q12" s="234"/>
      <c r="R12" s="415">
        <f>SUM(E12:Q12)</f>
        <v>41703141.32</v>
      </c>
    </row>
    <row r="13" spans="1:18" ht="25.5" customHeight="1">
      <c r="A13" s="342" t="s">
        <v>510</v>
      </c>
      <c r="B13" s="343"/>
      <c r="C13" s="638" t="s">
        <v>674</v>
      </c>
      <c r="D13" s="638"/>
      <c r="E13" s="424">
        <f>E14+E15</f>
        <v>0</v>
      </c>
      <c r="F13" s="424">
        <f aca="true" t="shared" si="0" ref="F13:Q13">F14+F15</f>
        <v>0</v>
      </c>
      <c r="G13" s="424">
        <f t="shared" si="0"/>
        <v>0</v>
      </c>
      <c r="H13" s="424">
        <f t="shared" si="0"/>
        <v>0</v>
      </c>
      <c r="I13" s="424">
        <f t="shared" si="0"/>
        <v>0</v>
      </c>
      <c r="J13" s="424">
        <f t="shared" si="0"/>
        <v>0</v>
      </c>
      <c r="K13" s="424">
        <f t="shared" si="0"/>
        <v>0</v>
      </c>
      <c r="L13" s="424">
        <f t="shared" si="0"/>
        <v>0</v>
      </c>
      <c r="M13" s="424">
        <f t="shared" si="0"/>
        <v>3600</v>
      </c>
      <c r="N13" s="424">
        <f t="shared" si="0"/>
        <v>0</v>
      </c>
      <c r="O13" s="424">
        <f t="shared" si="0"/>
        <v>0</v>
      </c>
      <c r="P13" s="424">
        <f t="shared" si="0"/>
        <v>0</v>
      </c>
      <c r="Q13" s="424">
        <f t="shared" si="0"/>
        <v>0</v>
      </c>
      <c r="R13" s="415">
        <f aca="true" t="shared" si="1" ref="R13:R49">SUM(E13:Q13)</f>
        <v>3600</v>
      </c>
    </row>
    <row r="14" spans="1:18" ht="25.5">
      <c r="A14" s="147" t="s">
        <v>622</v>
      </c>
      <c r="B14" s="148" t="s">
        <v>675</v>
      </c>
      <c r="C14" s="149"/>
      <c r="D14" s="41" t="s">
        <v>623</v>
      </c>
      <c r="E14" s="425"/>
      <c r="F14" s="412"/>
      <c r="G14" s="412"/>
      <c r="H14" s="412"/>
      <c r="I14" s="412"/>
      <c r="J14" s="412"/>
      <c r="K14" s="412"/>
      <c r="L14" s="412"/>
      <c r="M14" s="412">
        <v>3600</v>
      </c>
      <c r="N14" s="412"/>
      <c r="O14" s="412"/>
      <c r="P14" s="412"/>
      <c r="Q14" s="412"/>
      <c r="R14" s="415">
        <f t="shared" si="1"/>
        <v>3600</v>
      </c>
    </row>
    <row r="15" spans="1:18" ht="25.5">
      <c r="A15" s="144" t="s">
        <v>624</v>
      </c>
      <c r="B15" s="149"/>
      <c r="C15" s="149"/>
      <c r="D15" s="150" t="s">
        <v>625</v>
      </c>
      <c r="E15" s="412"/>
      <c r="F15" s="412"/>
      <c r="G15" s="412"/>
      <c r="H15" s="412"/>
      <c r="I15" s="412"/>
      <c r="J15" s="412"/>
      <c r="K15" s="412"/>
      <c r="L15" s="412"/>
      <c r="M15" s="412"/>
      <c r="N15" s="412"/>
      <c r="O15" s="412"/>
      <c r="P15" s="234"/>
      <c r="Q15" s="234"/>
      <c r="R15" s="415">
        <f t="shared" si="1"/>
        <v>0</v>
      </c>
    </row>
    <row r="16" spans="1:18" ht="51" customHeight="1">
      <c r="A16" s="342" t="s">
        <v>513</v>
      </c>
      <c r="B16" s="571" t="s">
        <v>676</v>
      </c>
      <c r="C16" s="571"/>
      <c r="D16" s="571"/>
      <c r="E16" s="424">
        <f>E17+E18+E19</f>
        <v>0</v>
      </c>
      <c r="F16" s="424">
        <f aca="true" t="shared" si="2" ref="F16:Q16">F17+F18+F19</f>
        <v>0</v>
      </c>
      <c r="G16" s="424">
        <f t="shared" si="2"/>
        <v>0</v>
      </c>
      <c r="H16" s="424">
        <f t="shared" si="2"/>
        <v>329789</v>
      </c>
      <c r="I16" s="424">
        <f t="shared" si="2"/>
        <v>0</v>
      </c>
      <c r="J16" s="424">
        <f t="shared" si="2"/>
        <v>0</v>
      </c>
      <c r="K16" s="424">
        <f t="shared" si="2"/>
        <v>0</v>
      </c>
      <c r="L16" s="424">
        <f t="shared" si="2"/>
        <v>0</v>
      </c>
      <c r="M16" s="424">
        <f t="shared" si="2"/>
        <v>0</v>
      </c>
      <c r="N16" s="424">
        <f t="shared" si="2"/>
        <v>0</v>
      </c>
      <c r="O16" s="424">
        <f t="shared" si="2"/>
        <v>12039</v>
      </c>
      <c r="P16" s="424">
        <f t="shared" si="2"/>
        <v>0</v>
      </c>
      <c r="Q16" s="424">
        <f t="shared" si="2"/>
        <v>0</v>
      </c>
      <c r="R16" s="415">
        <f t="shared" si="1"/>
        <v>341828</v>
      </c>
    </row>
    <row r="17" spans="1:18" ht="12.75">
      <c r="A17" s="151" t="s">
        <v>627</v>
      </c>
      <c r="B17" s="152"/>
      <c r="C17" s="149"/>
      <c r="D17" s="41" t="s">
        <v>628</v>
      </c>
      <c r="E17" s="412"/>
      <c r="F17" s="412"/>
      <c r="G17" s="412"/>
      <c r="H17" s="412"/>
      <c r="I17" s="412"/>
      <c r="J17" s="412"/>
      <c r="K17" s="412"/>
      <c r="L17" s="412"/>
      <c r="M17" s="412"/>
      <c r="N17" s="412"/>
      <c r="O17" s="412"/>
      <c r="P17" s="234"/>
      <c r="Q17" s="234"/>
      <c r="R17" s="415">
        <f t="shared" si="1"/>
        <v>0</v>
      </c>
    </row>
    <row r="18" spans="1:18" ht="12.75">
      <c r="A18" s="47" t="s">
        <v>629</v>
      </c>
      <c r="B18" s="152"/>
      <c r="C18" s="149"/>
      <c r="D18" s="41" t="s">
        <v>630</v>
      </c>
      <c r="E18" s="425"/>
      <c r="F18" s="412"/>
      <c r="G18" s="412"/>
      <c r="H18" s="412">
        <v>329789</v>
      </c>
      <c r="I18" s="412"/>
      <c r="J18" s="412"/>
      <c r="K18" s="412"/>
      <c r="L18" s="412"/>
      <c r="M18" s="412"/>
      <c r="N18" s="412"/>
      <c r="O18" s="412">
        <v>12039</v>
      </c>
      <c r="P18" s="234"/>
      <c r="Q18" s="234"/>
      <c r="R18" s="415">
        <f t="shared" si="1"/>
        <v>341828</v>
      </c>
    </row>
    <row r="19" spans="1:18" ht="12.75">
      <c r="A19" s="47" t="s">
        <v>631</v>
      </c>
      <c r="B19" s="152"/>
      <c r="C19" s="149"/>
      <c r="D19" s="41" t="s">
        <v>632</v>
      </c>
      <c r="E19" s="425"/>
      <c r="F19" s="412"/>
      <c r="G19" s="412"/>
      <c r="H19" s="412"/>
      <c r="I19" s="412"/>
      <c r="J19" s="412"/>
      <c r="K19" s="412"/>
      <c r="L19" s="412"/>
      <c r="M19" s="412"/>
      <c r="N19" s="412"/>
      <c r="O19" s="412"/>
      <c r="P19" s="234"/>
      <c r="Q19" s="234"/>
      <c r="R19" s="415">
        <f t="shared" si="1"/>
        <v>0</v>
      </c>
    </row>
    <row r="20" spans="1:18" ht="15" customHeight="1">
      <c r="A20" s="47" t="s">
        <v>515</v>
      </c>
      <c r="B20" s="146"/>
      <c r="C20" s="616" t="s">
        <v>633</v>
      </c>
      <c r="D20" s="616"/>
      <c r="E20" s="425"/>
      <c r="F20" s="412"/>
      <c r="G20" s="412">
        <v>-1</v>
      </c>
      <c r="H20" s="412">
        <v>1</v>
      </c>
      <c r="I20" s="412"/>
      <c r="J20" s="412"/>
      <c r="K20" s="412"/>
      <c r="L20" s="412"/>
      <c r="M20" s="412"/>
      <c r="N20" s="412"/>
      <c r="O20" s="412"/>
      <c r="P20" s="234"/>
      <c r="Q20" s="234"/>
      <c r="R20" s="415">
        <f t="shared" si="1"/>
        <v>0</v>
      </c>
    </row>
    <row r="21" spans="1:18" ht="54.75" customHeight="1">
      <c r="A21" s="305" t="s">
        <v>517</v>
      </c>
      <c r="B21" s="639" t="s">
        <v>634</v>
      </c>
      <c r="C21" s="639"/>
      <c r="D21" s="639"/>
      <c r="E21" s="415">
        <f>E12+E13-E16+E20</f>
        <v>0</v>
      </c>
      <c r="F21" s="415">
        <f aca="true" t="shared" si="3" ref="F21:Q21">F12+F13-F16+F20</f>
        <v>0</v>
      </c>
      <c r="G21" s="415">
        <f t="shared" si="3"/>
        <v>38944145.1</v>
      </c>
      <c r="H21" s="415">
        <f t="shared" si="3"/>
        <v>1218989</v>
      </c>
      <c r="I21" s="415">
        <f t="shared" si="3"/>
        <v>0</v>
      </c>
      <c r="J21" s="415">
        <f t="shared" si="3"/>
        <v>592003.72</v>
      </c>
      <c r="K21" s="415">
        <f t="shared" si="3"/>
        <v>189454</v>
      </c>
      <c r="L21" s="415">
        <f t="shared" si="3"/>
        <v>0</v>
      </c>
      <c r="M21" s="415">
        <f t="shared" si="3"/>
        <v>70758.79</v>
      </c>
      <c r="N21" s="415">
        <f t="shared" si="3"/>
        <v>0</v>
      </c>
      <c r="O21" s="415">
        <f t="shared" si="3"/>
        <v>349562.71</v>
      </c>
      <c r="P21" s="415">
        <f t="shared" si="3"/>
        <v>0</v>
      </c>
      <c r="Q21" s="415">
        <f t="shared" si="3"/>
        <v>0</v>
      </c>
      <c r="R21" s="415">
        <f t="shared" si="1"/>
        <v>41364913.32</v>
      </c>
    </row>
    <row r="22" spans="1:18" ht="39.75" customHeight="1">
      <c r="A22" s="145" t="s">
        <v>519</v>
      </c>
      <c r="B22" s="640" t="s">
        <v>677</v>
      </c>
      <c r="C22" s="640"/>
      <c r="D22" s="640"/>
      <c r="E22" s="234" t="s">
        <v>636</v>
      </c>
      <c r="F22" s="234"/>
      <c r="G22" s="234">
        <v>1393764.75</v>
      </c>
      <c r="H22" s="234">
        <v>453883.41</v>
      </c>
      <c r="I22" s="234"/>
      <c r="J22" s="234">
        <v>266481.22</v>
      </c>
      <c r="K22" s="234">
        <v>125279.02</v>
      </c>
      <c r="L22" s="234"/>
      <c r="M22" s="234">
        <v>45592.34</v>
      </c>
      <c r="N22" s="422" t="s">
        <v>636</v>
      </c>
      <c r="O22" s="234">
        <v>110454.04</v>
      </c>
      <c r="P22" s="234" t="s">
        <v>636</v>
      </c>
      <c r="Q22" s="234" t="s">
        <v>636</v>
      </c>
      <c r="R22" s="415">
        <f t="shared" si="1"/>
        <v>2395454.78</v>
      </c>
    </row>
    <row r="23" spans="1:18" ht="39.75" customHeight="1">
      <c r="A23" s="151" t="s">
        <v>521</v>
      </c>
      <c r="B23" s="152"/>
      <c r="C23" s="616" t="s">
        <v>678</v>
      </c>
      <c r="D23" s="616"/>
      <c r="E23" s="412" t="s">
        <v>636</v>
      </c>
      <c r="F23" s="412"/>
      <c r="G23" s="412"/>
      <c r="H23" s="412"/>
      <c r="I23" s="412"/>
      <c r="J23" s="412"/>
      <c r="K23" s="412"/>
      <c r="L23" s="412"/>
      <c r="M23" s="412"/>
      <c r="N23" s="422" t="s">
        <v>636</v>
      </c>
      <c r="O23" s="412"/>
      <c r="P23" s="412" t="s">
        <v>636</v>
      </c>
      <c r="Q23" s="412" t="s">
        <v>636</v>
      </c>
      <c r="R23" s="415">
        <f t="shared" si="1"/>
        <v>0</v>
      </c>
    </row>
    <row r="24" spans="1:18" ht="41.25" customHeight="1">
      <c r="A24" s="151" t="s">
        <v>523</v>
      </c>
      <c r="B24" s="152"/>
      <c r="C24" s="616" t="s">
        <v>679</v>
      </c>
      <c r="D24" s="616"/>
      <c r="E24" s="412" t="s">
        <v>636</v>
      </c>
      <c r="F24" s="412"/>
      <c r="G24" s="412">
        <v>509087.88</v>
      </c>
      <c r="H24" s="412">
        <f>44.4+83431.44</f>
        <v>83475.84</v>
      </c>
      <c r="I24" s="412"/>
      <c r="J24" s="412">
        <v>50377.44</v>
      </c>
      <c r="K24" s="412">
        <v>14357.52</v>
      </c>
      <c r="L24" s="412"/>
      <c r="M24" s="412">
        <v>7043.04</v>
      </c>
      <c r="N24" s="422" t="s">
        <v>636</v>
      </c>
      <c r="O24" s="412">
        <f>49397.96</f>
        <v>49397.96</v>
      </c>
      <c r="P24" s="412" t="s">
        <v>636</v>
      </c>
      <c r="Q24" s="412" t="s">
        <v>636</v>
      </c>
      <c r="R24" s="415">
        <f t="shared" si="1"/>
        <v>713739.6799999999</v>
      </c>
    </row>
    <row r="25" spans="1:18" ht="51" customHeight="1">
      <c r="A25" s="344" t="s">
        <v>525</v>
      </c>
      <c r="B25" s="345"/>
      <c r="C25" s="638" t="s">
        <v>680</v>
      </c>
      <c r="D25" s="638"/>
      <c r="E25" s="414" t="s">
        <v>636</v>
      </c>
      <c r="F25" s="414">
        <f>F26+F27+F28</f>
        <v>0</v>
      </c>
      <c r="G25" s="414">
        <f aca="true" t="shared" si="4" ref="G25:O25">G26+G27+G28</f>
        <v>0</v>
      </c>
      <c r="H25" s="414">
        <f t="shared" si="4"/>
        <v>326501</v>
      </c>
      <c r="I25" s="414">
        <f t="shared" si="4"/>
        <v>0</v>
      </c>
      <c r="J25" s="414">
        <f t="shared" si="4"/>
        <v>0</v>
      </c>
      <c r="K25" s="414">
        <f t="shared" si="4"/>
        <v>0</v>
      </c>
      <c r="L25" s="414">
        <f t="shared" si="4"/>
        <v>0</v>
      </c>
      <c r="M25" s="414">
        <f t="shared" si="4"/>
        <v>0</v>
      </c>
      <c r="N25" s="414" t="s">
        <v>636</v>
      </c>
      <c r="O25" s="414">
        <f t="shared" si="4"/>
        <v>12039</v>
      </c>
      <c r="P25" s="414" t="s">
        <v>636</v>
      </c>
      <c r="Q25" s="414" t="s">
        <v>636</v>
      </c>
      <c r="R25" s="415">
        <f t="shared" si="1"/>
        <v>338540</v>
      </c>
    </row>
    <row r="26" spans="1:18" ht="12.75">
      <c r="A26" s="153" t="s">
        <v>640</v>
      </c>
      <c r="B26" s="154"/>
      <c r="C26" s="59"/>
      <c r="D26" s="155" t="s">
        <v>628</v>
      </c>
      <c r="E26" s="422" t="s">
        <v>636</v>
      </c>
      <c r="F26" s="412"/>
      <c r="G26" s="412"/>
      <c r="H26" s="412"/>
      <c r="I26" s="412"/>
      <c r="J26" s="412"/>
      <c r="K26" s="412"/>
      <c r="L26" s="412"/>
      <c r="M26" s="412"/>
      <c r="N26" s="422" t="s">
        <v>636</v>
      </c>
      <c r="O26" s="422"/>
      <c r="P26" s="422" t="s">
        <v>636</v>
      </c>
      <c r="Q26" s="422" t="s">
        <v>636</v>
      </c>
      <c r="R26" s="415">
        <f t="shared" si="1"/>
        <v>0</v>
      </c>
    </row>
    <row r="27" spans="1:18" ht="12.75">
      <c r="A27" s="153" t="s">
        <v>641</v>
      </c>
      <c r="B27" s="154"/>
      <c r="C27" s="59"/>
      <c r="D27" s="155" t="s">
        <v>630</v>
      </c>
      <c r="E27" s="422" t="s">
        <v>636</v>
      </c>
      <c r="F27" s="412"/>
      <c r="G27" s="412"/>
      <c r="H27" s="412">
        <f>305105+21396</f>
        <v>326501</v>
      </c>
      <c r="I27" s="412"/>
      <c r="J27" s="412"/>
      <c r="K27" s="412"/>
      <c r="L27" s="412"/>
      <c r="M27" s="412"/>
      <c r="N27" s="422" t="s">
        <v>636</v>
      </c>
      <c r="O27" s="422">
        <v>12039</v>
      </c>
      <c r="P27" s="422" t="s">
        <v>636</v>
      </c>
      <c r="Q27" s="422" t="s">
        <v>636</v>
      </c>
      <c r="R27" s="415">
        <f t="shared" si="1"/>
        <v>338540</v>
      </c>
    </row>
    <row r="28" spans="1:18" ht="12.75">
      <c r="A28" s="153" t="s">
        <v>642</v>
      </c>
      <c r="B28" s="154"/>
      <c r="C28" s="59"/>
      <c r="D28" s="155" t="s">
        <v>632</v>
      </c>
      <c r="E28" s="422" t="s">
        <v>636</v>
      </c>
      <c r="F28" s="412"/>
      <c r="G28" s="412"/>
      <c r="H28" s="412"/>
      <c r="I28" s="412"/>
      <c r="J28" s="412"/>
      <c r="K28" s="412"/>
      <c r="L28" s="412"/>
      <c r="M28" s="412"/>
      <c r="N28" s="422" t="s">
        <v>636</v>
      </c>
      <c r="O28" s="422"/>
      <c r="P28" s="422" t="s">
        <v>636</v>
      </c>
      <c r="Q28" s="422" t="s">
        <v>636</v>
      </c>
      <c r="R28" s="415">
        <f t="shared" si="1"/>
        <v>0</v>
      </c>
    </row>
    <row r="29" spans="1:18" ht="15" customHeight="1">
      <c r="A29" s="151" t="s">
        <v>526</v>
      </c>
      <c r="B29" s="154"/>
      <c r="C29" s="646" t="s">
        <v>633</v>
      </c>
      <c r="D29" s="646"/>
      <c r="E29" s="422" t="s">
        <v>636</v>
      </c>
      <c r="F29" s="412"/>
      <c r="G29" s="412"/>
      <c r="H29" s="412"/>
      <c r="I29" s="412"/>
      <c r="J29" s="412"/>
      <c r="K29" s="412"/>
      <c r="L29" s="412"/>
      <c r="M29" s="412"/>
      <c r="N29" s="422" t="s">
        <v>636</v>
      </c>
      <c r="O29" s="412"/>
      <c r="P29" s="412" t="s">
        <v>636</v>
      </c>
      <c r="Q29" s="412" t="s">
        <v>636</v>
      </c>
      <c r="R29" s="415">
        <f t="shared" si="1"/>
        <v>0</v>
      </c>
    </row>
    <row r="30" spans="1:18" ht="54.75" customHeight="1">
      <c r="A30" s="305" t="s">
        <v>527</v>
      </c>
      <c r="B30" s="618" t="s">
        <v>681</v>
      </c>
      <c r="C30" s="618"/>
      <c r="D30" s="618"/>
      <c r="E30" s="415" t="s">
        <v>636</v>
      </c>
      <c r="F30" s="415">
        <f>F22+F23+F24-F25+F29</f>
        <v>0</v>
      </c>
      <c r="G30" s="415">
        <f aca="true" t="shared" si="5" ref="G30:O30">G22+G23+G24-G25+G29</f>
        <v>1902852.63</v>
      </c>
      <c r="H30" s="415">
        <f t="shared" si="5"/>
        <v>210858.25</v>
      </c>
      <c r="I30" s="415">
        <f t="shared" si="5"/>
        <v>0</v>
      </c>
      <c r="J30" s="415">
        <f t="shared" si="5"/>
        <v>316858.66</v>
      </c>
      <c r="K30" s="415">
        <f t="shared" si="5"/>
        <v>139636.54</v>
      </c>
      <c r="L30" s="415">
        <f t="shared" si="5"/>
        <v>0</v>
      </c>
      <c r="M30" s="415">
        <f t="shared" si="5"/>
        <v>52635.38</v>
      </c>
      <c r="N30" s="414" t="s">
        <v>636</v>
      </c>
      <c r="O30" s="415">
        <f t="shared" si="5"/>
        <v>147813</v>
      </c>
      <c r="P30" s="415" t="s">
        <v>636</v>
      </c>
      <c r="Q30" s="415" t="s">
        <v>636</v>
      </c>
      <c r="R30" s="415">
        <f t="shared" si="1"/>
        <v>2770654.46</v>
      </c>
    </row>
    <row r="31" spans="1:18" ht="39.75" customHeight="1">
      <c r="A31" s="145" t="s">
        <v>528</v>
      </c>
      <c r="B31" s="647" t="s">
        <v>644</v>
      </c>
      <c r="C31" s="647"/>
      <c r="D31" s="647"/>
      <c r="E31" s="234" t="s">
        <v>636</v>
      </c>
      <c r="F31" s="234"/>
      <c r="G31" s="234"/>
      <c r="H31" s="234"/>
      <c r="I31" s="426"/>
      <c r="J31" s="234"/>
      <c r="K31" s="234"/>
      <c r="L31" s="426"/>
      <c r="M31" s="234"/>
      <c r="N31" s="422" t="s">
        <v>636</v>
      </c>
      <c r="O31" s="234"/>
      <c r="P31" s="234"/>
      <c r="Q31" s="234"/>
      <c r="R31" s="415">
        <f t="shared" si="1"/>
        <v>0</v>
      </c>
    </row>
    <row r="32" spans="1:18" ht="39.75" customHeight="1">
      <c r="A32" s="151" t="s">
        <v>529</v>
      </c>
      <c r="B32" s="152"/>
      <c r="C32" s="616" t="s">
        <v>645</v>
      </c>
      <c r="D32" s="616"/>
      <c r="E32" s="412" t="s">
        <v>636</v>
      </c>
      <c r="F32" s="412"/>
      <c r="G32" s="412"/>
      <c r="H32" s="412"/>
      <c r="I32" s="413"/>
      <c r="J32" s="412"/>
      <c r="K32" s="412"/>
      <c r="L32" s="413"/>
      <c r="M32" s="412"/>
      <c r="N32" s="422" t="s">
        <v>636</v>
      </c>
      <c r="O32" s="412"/>
      <c r="P32" s="412"/>
      <c r="Q32" s="412"/>
      <c r="R32" s="415">
        <f t="shared" si="1"/>
        <v>0</v>
      </c>
    </row>
    <row r="33" spans="1:18" ht="39.75" customHeight="1">
      <c r="A33" s="151" t="s">
        <v>530</v>
      </c>
      <c r="B33" s="152"/>
      <c r="C33" s="616" t="s">
        <v>682</v>
      </c>
      <c r="D33" s="616"/>
      <c r="E33" s="417" t="s">
        <v>636</v>
      </c>
      <c r="F33" s="417"/>
      <c r="G33" s="417"/>
      <c r="H33" s="417"/>
      <c r="I33" s="427"/>
      <c r="J33" s="417"/>
      <c r="K33" s="417"/>
      <c r="L33" s="427"/>
      <c r="M33" s="417"/>
      <c r="N33" s="422" t="s">
        <v>636</v>
      </c>
      <c r="O33" s="417"/>
      <c r="P33" s="417"/>
      <c r="Q33" s="417"/>
      <c r="R33" s="415">
        <f t="shared" si="1"/>
        <v>0</v>
      </c>
    </row>
    <row r="34" spans="1:18" ht="39.75" customHeight="1">
      <c r="A34" s="151" t="s">
        <v>531</v>
      </c>
      <c r="B34" s="152"/>
      <c r="C34" s="616" t="s">
        <v>647</v>
      </c>
      <c r="D34" s="616"/>
      <c r="E34" s="412" t="s">
        <v>636</v>
      </c>
      <c r="F34" s="412"/>
      <c r="G34" s="412"/>
      <c r="H34" s="412"/>
      <c r="I34" s="413"/>
      <c r="J34" s="412"/>
      <c r="K34" s="412"/>
      <c r="L34" s="413"/>
      <c r="M34" s="412"/>
      <c r="N34" s="422" t="s">
        <v>636</v>
      </c>
      <c r="O34" s="412"/>
      <c r="P34" s="412"/>
      <c r="Q34" s="412"/>
      <c r="R34" s="415">
        <f t="shared" si="1"/>
        <v>0</v>
      </c>
    </row>
    <row r="35" spans="1:18" ht="51" customHeight="1">
      <c r="A35" s="344" t="s">
        <v>533</v>
      </c>
      <c r="B35" s="345"/>
      <c r="C35" s="638" t="s">
        <v>683</v>
      </c>
      <c r="D35" s="638"/>
      <c r="E35" s="414" t="s">
        <v>636</v>
      </c>
      <c r="F35" s="414">
        <f>F36+F37+F38</f>
        <v>0</v>
      </c>
      <c r="G35" s="414">
        <f aca="true" t="shared" si="6" ref="G35:M35">G36+G37+G38</f>
        <v>0</v>
      </c>
      <c r="H35" s="414">
        <f t="shared" si="6"/>
        <v>0</v>
      </c>
      <c r="I35" s="414">
        <f t="shared" si="6"/>
        <v>0</v>
      </c>
      <c r="J35" s="414">
        <f t="shared" si="6"/>
        <v>0</v>
      </c>
      <c r="K35" s="414">
        <f t="shared" si="6"/>
        <v>0</v>
      </c>
      <c r="L35" s="414">
        <f t="shared" si="6"/>
        <v>0</v>
      </c>
      <c r="M35" s="414">
        <f t="shared" si="6"/>
        <v>0</v>
      </c>
      <c r="N35" s="414" t="s">
        <v>636</v>
      </c>
      <c r="O35" s="414">
        <f>O36+O37+O38</f>
        <v>0</v>
      </c>
      <c r="P35" s="414">
        <f>P36+P37+P38</f>
        <v>0</v>
      </c>
      <c r="Q35" s="414">
        <f>Q36+Q37+Q38</f>
        <v>0</v>
      </c>
      <c r="R35" s="415">
        <f t="shared" si="1"/>
        <v>0</v>
      </c>
    </row>
    <row r="36" spans="1:18" ht="12.75">
      <c r="A36" s="153" t="s">
        <v>649</v>
      </c>
      <c r="B36" s="154"/>
      <c r="C36" s="59"/>
      <c r="D36" s="155" t="s">
        <v>628</v>
      </c>
      <c r="E36" s="422" t="s">
        <v>636</v>
      </c>
      <c r="F36" s="412"/>
      <c r="G36" s="412"/>
      <c r="H36" s="412"/>
      <c r="I36" s="413"/>
      <c r="J36" s="412"/>
      <c r="K36" s="412"/>
      <c r="L36" s="413"/>
      <c r="M36" s="412"/>
      <c r="N36" s="422" t="s">
        <v>636</v>
      </c>
      <c r="O36" s="412"/>
      <c r="P36" s="412"/>
      <c r="Q36" s="412"/>
      <c r="R36" s="415">
        <f t="shared" si="1"/>
        <v>0</v>
      </c>
    </row>
    <row r="37" spans="1:18" ht="12.75">
      <c r="A37" s="153" t="s">
        <v>650</v>
      </c>
      <c r="B37" s="154"/>
      <c r="C37" s="59"/>
      <c r="D37" s="155" t="s">
        <v>630</v>
      </c>
      <c r="E37" s="422" t="s">
        <v>636</v>
      </c>
      <c r="F37" s="412"/>
      <c r="G37" s="412"/>
      <c r="H37" s="412"/>
      <c r="I37" s="413"/>
      <c r="J37" s="412"/>
      <c r="K37" s="412"/>
      <c r="L37" s="413"/>
      <c r="M37" s="412"/>
      <c r="N37" s="422" t="s">
        <v>636</v>
      </c>
      <c r="O37" s="412"/>
      <c r="P37" s="412"/>
      <c r="Q37" s="412"/>
      <c r="R37" s="415">
        <f t="shared" si="1"/>
        <v>0</v>
      </c>
    </row>
    <row r="38" spans="1:18" ht="12.75">
      <c r="A38" s="153" t="s">
        <v>651</v>
      </c>
      <c r="B38" s="154"/>
      <c r="C38" s="59"/>
      <c r="D38" s="155" t="s">
        <v>632</v>
      </c>
      <c r="E38" s="422" t="s">
        <v>636</v>
      </c>
      <c r="F38" s="412"/>
      <c r="G38" s="412"/>
      <c r="H38" s="412"/>
      <c r="I38" s="413"/>
      <c r="J38" s="412"/>
      <c r="K38" s="412"/>
      <c r="L38" s="413"/>
      <c r="M38" s="412"/>
      <c r="N38" s="422" t="s">
        <v>636</v>
      </c>
      <c r="O38" s="412"/>
      <c r="P38" s="412"/>
      <c r="Q38" s="412"/>
      <c r="R38" s="415">
        <f t="shared" si="1"/>
        <v>0</v>
      </c>
    </row>
    <row r="39" spans="1:18" ht="15" customHeight="1">
      <c r="A39" s="151" t="s">
        <v>534</v>
      </c>
      <c r="B39" s="154"/>
      <c r="C39" s="646" t="s">
        <v>633</v>
      </c>
      <c r="D39" s="646"/>
      <c r="E39" s="412" t="s">
        <v>636</v>
      </c>
      <c r="F39" s="412"/>
      <c r="G39" s="412"/>
      <c r="H39" s="412"/>
      <c r="I39" s="413"/>
      <c r="J39" s="413"/>
      <c r="K39" s="413"/>
      <c r="L39" s="413"/>
      <c r="M39" s="412"/>
      <c r="N39" s="422" t="s">
        <v>636</v>
      </c>
      <c r="O39" s="412"/>
      <c r="P39" s="412"/>
      <c r="Q39" s="412"/>
      <c r="R39" s="415">
        <f t="shared" si="1"/>
        <v>0</v>
      </c>
    </row>
    <row r="40" spans="1:18" ht="54.75" customHeight="1">
      <c r="A40" s="305" t="s">
        <v>652</v>
      </c>
      <c r="B40" s="618" t="s">
        <v>684</v>
      </c>
      <c r="C40" s="618"/>
      <c r="D40" s="618"/>
      <c r="E40" s="415" t="s">
        <v>636</v>
      </c>
      <c r="F40" s="415">
        <f>F31+F32+F33-F34-F35+F39</f>
        <v>0</v>
      </c>
      <c r="G40" s="415">
        <f aca="true" t="shared" si="7" ref="G40:M40">G31+G32+G33-G34-G35+G39</f>
        <v>0</v>
      </c>
      <c r="H40" s="415">
        <f t="shared" si="7"/>
        <v>0</v>
      </c>
      <c r="I40" s="415">
        <f t="shared" si="7"/>
        <v>0</v>
      </c>
      <c r="J40" s="415">
        <f t="shared" si="7"/>
        <v>0</v>
      </c>
      <c r="K40" s="415">
        <f t="shared" si="7"/>
        <v>0</v>
      </c>
      <c r="L40" s="415">
        <f t="shared" si="7"/>
        <v>0</v>
      </c>
      <c r="M40" s="415">
        <f t="shared" si="7"/>
        <v>0</v>
      </c>
      <c r="N40" s="415" t="s">
        <v>636</v>
      </c>
      <c r="O40" s="415">
        <f>O31+O32+O33-O34-O35+O39</f>
        <v>0</v>
      </c>
      <c r="P40" s="415">
        <f>P31+P32+P33-P34-P35+P39</f>
        <v>0</v>
      </c>
      <c r="Q40" s="415">
        <f>Q31+Q32+Q33-Q34-Q35+Q39</f>
        <v>0</v>
      </c>
      <c r="R40" s="415">
        <f t="shared" si="1"/>
        <v>0</v>
      </c>
    </row>
    <row r="41" spans="1:18" ht="30.75" customHeight="1">
      <c r="A41" s="145" t="s">
        <v>654</v>
      </c>
      <c r="B41" s="647" t="s">
        <v>685</v>
      </c>
      <c r="C41" s="647"/>
      <c r="D41" s="647"/>
      <c r="E41" s="234"/>
      <c r="F41" s="234" t="s">
        <v>636</v>
      </c>
      <c r="G41" s="234" t="s">
        <v>636</v>
      </c>
      <c r="H41" s="234" t="s">
        <v>636</v>
      </c>
      <c r="I41" s="234"/>
      <c r="J41" s="234" t="s">
        <v>636</v>
      </c>
      <c r="K41" s="234" t="s">
        <v>636</v>
      </c>
      <c r="L41" s="234"/>
      <c r="M41" s="234" t="s">
        <v>636</v>
      </c>
      <c r="N41" s="234"/>
      <c r="O41" s="234" t="s">
        <v>636</v>
      </c>
      <c r="P41" s="234" t="s">
        <v>636</v>
      </c>
      <c r="Q41" s="234" t="s">
        <v>636</v>
      </c>
      <c r="R41" s="415">
        <f t="shared" si="1"/>
        <v>0</v>
      </c>
    </row>
    <row r="42" spans="1:18" ht="45" customHeight="1">
      <c r="A42" s="151" t="s">
        <v>656</v>
      </c>
      <c r="B42" s="570" t="s">
        <v>686</v>
      </c>
      <c r="C42" s="570"/>
      <c r="D42" s="570"/>
      <c r="E42" s="234"/>
      <c r="F42" s="234"/>
      <c r="G42" s="234"/>
      <c r="H42" s="234"/>
      <c r="I42" s="234"/>
      <c r="J42" s="234"/>
      <c r="K42" s="234"/>
      <c r="L42" s="234"/>
      <c r="M42" s="234"/>
      <c r="N42" s="234"/>
      <c r="O42" s="234"/>
      <c r="P42" s="234"/>
      <c r="Q42" s="234"/>
      <c r="R42" s="415">
        <f t="shared" si="1"/>
        <v>0</v>
      </c>
    </row>
    <row r="43" spans="1:18" ht="39.75" customHeight="1">
      <c r="A43" s="151" t="s">
        <v>687</v>
      </c>
      <c r="B43" s="152"/>
      <c r="C43" s="616" t="s">
        <v>688</v>
      </c>
      <c r="D43" s="616"/>
      <c r="E43" s="412"/>
      <c r="F43" s="412" t="s">
        <v>636</v>
      </c>
      <c r="G43" s="412" t="s">
        <v>636</v>
      </c>
      <c r="H43" s="412" t="s">
        <v>636</v>
      </c>
      <c r="I43" s="412"/>
      <c r="J43" s="412" t="s">
        <v>636</v>
      </c>
      <c r="K43" s="412" t="s">
        <v>636</v>
      </c>
      <c r="L43" s="412"/>
      <c r="M43" s="412" t="s">
        <v>636</v>
      </c>
      <c r="N43" s="412"/>
      <c r="O43" s="412" t="s">
        <v>636</v>
      </c>
      <c r="P43" s="412" t="s">
        <v>636</v>
      </c>
      <c r="Q43" s="412" t="s">
        <v>636</v>
      </c>
      <c r="R43" s="415">
        <f t="shared" si="1"/>
        <v>0</v>
      </c>
    </row>
    <row r="44" spans="1:18" ht="50.25" customHeight="1">
      <c r="A44" s="151" t="s">
        <v>689</v>
      </c>
      <c r="B44" s="148"/>
      <c r="C44" s="616" t="s">
        <v>694</v>
      </c>
      <c r="D44" s="616"/>
      <c r="E44" s="422"/>
      <c r="F44" s="422" t="s">
        <v>636</v>
      </c>
      <c r="G44" s="422" t="s">
        <v>636</v>
      </c>
      <c r="H44" s="422" t="s">
        <v>636</v>
      </c>
      <c r="I44" s="422"/>
      <c r="J44" s="422" t="s">
        <v>636</v>
      </c>
      <c r="K44" s="422" t="s">
        <v>636</v>
      </c>
      <c r="L44" s="422"/>
      <c r="M44" s="422" t="s">
        <v>636</v>
      </c>
      <c r="N44" s="422"/>
      <c r="O44" s="422" t="s">
        <v>636</v>
      </c>
      <c r="P44" s="422" t="s">
        <v>636</v>
      </c>
      <c r="Q44" s="422" t="s">
        <v>636</v>
      </c>
      <c r="R44" s="415">
        <f t="shared" si="1"/>
        <v>0</v>
      </c>
    </row>
    <row r="45" spans="1:18" ht="12.75">
      <c r="A45" s="153" t="s">
        <v>695</v>
      </c>
      <c r="B45" s="156"/>
      <c r="C45" s="59"/>
      <c r="D45" s="155" t="s">
        <v>628</v>
      </c>
      <c r="E45" s="422"/>
      <c r="F45" s="422" t="s">
        <v>636</v>
      </c>
      <c r="G45" s="422" t="s">
        <v>636</v>
      </c>
      <c r="H45" s="422" t="s">
        <v>636</v>
      </c>
      <c r="I45" s="422"/>
      <c r="J45" s="422" t="s">
        <v>636</v>
      </c>
      <c r="K45" s="422" t="s">
        <v>636</v>
      </c>
      <c r="L45" s="422"/>
      <c r="M45" s="422" t="s">
        <v>636</v>
      </c>
      <c r="N45" s="422"/>
      <c r="O45" s="422" t="s">
        <v>636</v>
      </c>
      <c r="P45" s="422" t="s">
        <v>636</v>
      </c>
      <c r="Q45" s="422" t="s">
        <v>636</v>
      </c>
      <c r="R45" s="415">
        <f t="shared" si="1"/>
        <v>0</v>
      </c>
    </row>
    <row r="46" spans="1:18" ht="12.75">
      <c r="A46" s="153" t="s">
        <v>696</v>
      </c>
      <c r="B46" s="156"/>
      <c r="C46" s="59"/>
      <c r="D46" s="155" t="s">
        <v>630</v>
      </c>
      <c r="E46" s="422"/>
      <c r="F46" s="422" t="s">
        <v>636</v>
      </c>
      <c r="G46" s="422" t="s">
        <v>636</v>
      </c>
      <c r="H46" s="422" t="s">
        <v>636</v>
      </c>
      <c r="I46" s="422"/>
      <c r="J46" s="422" t="s">
        <v>636</v>
      </c>
      <c r="K46" s="422" t="s">
        <v>636</v>
      </c>
      <c r="L46" s="422"/>
      <c r="M46" s="422" t="s">
        <v>636</v>
      </c>
      <c r="N46" s="422"/>
      <c r="O46" s="422" t="s">
        <v>636</v>
      </c>
      <c r="P46" s="422" t="s">
        <v>636</v>
      </c>
      <c r="Q46" s="422" t="s">
        <v>636</v>
      </c>
      <c r="R46" s="415">
        <f t="shared" si="1"/>
        <v>0</v>
      </c>
    </row>
    <row r="47" spans="1:18" ht="12.75">
      <c r="A47" s="153" t="s">
        <v>697</v>
      </c>
      <c r="B47" s="156"/>
      <c r="C47" s="59"/>
      <c r="D47" s="155" t="s">
        <v>632</v>
      </c>
      <c r="E47" s="422"/>
      <c r="F47" s="422" t="s">
        <v>636</v>
      </c>
      <c r="G47" s="422" t="s">
        <v>636</v>
      </c>
      <c r="H47" s="422" t="s">
        <v>636</v>
      </c>
      <c r="I47" s="422"/>
      <c r="J47" s="422" t="s">
        <v>636</v>
      </c>
      <c r="K47" s="422" t="s">
        <v>636</v>
      </c>
      <c r="L47" s="422"/>
      <c r="M47" s="422" t="s">
        <v>636</v>
      </c>
      <c r="N47" s="422"/>
      <c r="O47" s="422" t="s">
        <v>636</v>
      </c>
      <c r="P47" s="422" t="s">
        <v>636</v>
      </c>
      <c r="Q47" s="422" t="s">
        <v>636</v>
      </c>
      <c r="R47" s="415">
        <f t="shared" si="1"/>
        <v>0</v>
      </c>
    </row>
    <row r="48" spans="1:18" ht="15" customHeight="1">
      <c r="A48" s="151" t="s">
        <v>698</v>
      </c>
      <c r="B48" s="154"/>
      <c r="C48" s="646" t="s">
        <v>633</v>
      </c>
      <c r="D48" s="646"/>
      <c r="E48" s="412"/>
      <c r="F48" s="412" t="s">
        <v>636</v>
      </c>
      <c r="G48" s="412" t="s">
        <v>636</v>
      </c>
      <c r="H48" s="412" t="s">
        <v>636</v>
      </c>
      <c r="I48" s="412"/>
      <c r="J48" s="412" t="s">
        <v>636</v>
      </c>
      <c r="K48" s="412" t="s">
        <v>636</v>
      </c>
      <c r="L48" s="412"/>
      <c r="M48" s="412" t="s">
        <v>636</v>
      </c>
      <c r="N48" s="412"/>
      <c r="O48" s="412" t="s">
        <v>636</v>
      </c>
      <c r="P48" s="412" t="s">
        <v>636</v>
      </c>
      <c r="Q48" s="412" t="s">
        <v>636</v>
      </c>
      <c r="R48" s="415">
        <f t="shared" si="1"/>
        <v>0</v>
      </c>
    </row>
    <row r="49" spans="1:18" ht="41.25" customHeight="1">
      <c r="A49" s="305" t="s">
        <v>699</v>
      </c>
      <c r="B49" s="618" t="s">
        <v>700</v>
      </c>
      <c r="C49" s="618"/>
      <c r="D49" s="618"/>
      <c r="E49" s="415">
        <f>E41+E42+E43-E44+E48</f>
        <v>0</v>
      </c>
      <c r="F49" s="415" t="s">
        <v>636</v>
      </c>
      <c r="G49" s="415" t="s">
        <v>636</v>
      </c>
      <c r="H49" s="415" t="s">
        <v>636</v>
      </c>
      <c r="I49" s="415">
        <f>I41+I42+I43-I44+I48</f>
        <v>0</v>
      </c>
      <c r="J49" s="415" t="s">
        <v>636</v>
      </c>
      <c r="K49" s="415" t="s">
        <v>636</v>
      </c>
      <c r="L49" s="415">
        <f>L41+L42+L43-L44+L48</f>
        <v>0</v>
      </c>
      <c r="M49" s="415" t="s">
        <v>636</v>
      </c>
      <c r="N49" s="415">
        <f>N41+N42+N43-N44+N48</f>
        <v>0</v>
      </c>
      <c r="O49" s="415" t="s">
        <v>636</v>
      </c>
      <c r="P49" s="415" t="s">
        <v>636</v>
      </c>
      <c r="Q49" s="415" t="s">
        <v>636</v>
      </c>
      <c r="R49" s="415">
        <f t="shared" si="1"/>
        <v>0</v>
      </c>
    </row>
    <row r="50" spans="1:18" ht="54.75" customHeight="1">
      <c r="A50" s="305" t="s">
        <v>701</v>
      </c>
      <c r="B50" s="618" t="s">
        <v>702</v>
      </c>
      <c r="C50" s="618"/>
      <c r="D50" s="618"/>
      <c r="E50" s="415">
        <f>IF(E21+E49=FBA!F28,E21+E49,0)</f>
        <v>0</v>
      </c>
      <c r="F50" s="415">
        <f>F21-F30-F40</f>
        <v>0</v>
      </c>
      <c r="G50" s="415">
        <f>G21-G30-G40</f>
        <v>37041292.47</v>
      </c>
      <c r="H50" s="415">
        <f>IF(H21-H30-H40=FBA!F30,H21-H30-H40,0)</f>
        <v>1008130.75</v>
      </c>
      <c r="I50" s="415">
        <f>IF(I21-I30-I40+I49=FBA!F31,I21-I30-I40+I49,0)</f>
        <v>0</v>
      </c>
      <c r="J50" s="415">
        <f>IF(J21-J30-J40=FBA!F32,J21-J30-J40,0)</f>
        <v>275145.06</v>
      </c>
      <c r="K50" s="415">
        <f>IF(K21-K30-K40=FBA!F33,K21-K30-K40,0)</f>
        <v>49817.45999999999</v>
      </c>
      <c r="L50" s="415">
        <f>IF(L21-L30-L40+L49=FBA!F34,L21-L30-L40+L49,0)</f>
        <v>0</v>
      </c>
      <c r="M50" s="415">
        <f>IF(M21-M30-M40=FBA!F35,M21-M30-M40,0)</f>
        <v>18123.409999999996</v>
      </c>
      <c r="N50" s="415">
        <f>N21+N49</f>
        <v>0</v>
      </c>
      <c r="O50" s="415">
        <f>O21-O30-O40</f>
        <v>201749.71000000002</v>
      </c>
      <c r="P50" s="415">
        <f>P21-P40</f>
        <v>0</v>
      </c>
      <c r="Q50" s="415">
        <f>Q21-Q40</f>
        <v>0</v>
      </c>
      <c r="R50" s="415">
        <f>IF(SUM(E50:Q50)=FBA!F27,SUM(E50:Q50),0)</f>
        <v>38594258.86</v>
      </c>
    </row>
    <row r="51" spans="1:18" ht="54.75" customHeight="1">
      <c r="A51" s="305" t="s">
        <v>703</v>
      </c>
      <c r="B51" s="618" t="s">
        <v>704</v>
      </c>
      <c r="C51" s="618"/>
      <c r="D51" s="618"/>
      <c r="E51" s="415">
        <f>IF(E12+E41=FBA!G28,E12+E41,0)</f>
        <v>0</v>
      </c>
      <c r="F51" s="415">
        <f>F12-F22-F31</f>
        <v>0</v>
      </c>
      <c r="G51" s="415">
        <f>G12-G22-G31</f>
        <v>37550381.35</v>
      </c>
      <c r="H51" s="415">
        <f>IF(H12-H22-H31=FBA!G30,H12-H22-H31,0)</f>
        <v>1094893.59</v>
      </c>
      <c r="I51" s="415">
        <f>IF(I12-I22-I31+I41=FBA!G31,I12-I22-I31+I41,0)</f>
        <v>0</v>
      </c>
      <c r="J51" s="415">
        <f>IF(J12-J22-J31=FBA!G32,J12-J22-J31,0)</f>
        <v>325522.5</v>
      </c>
      <c r="K51" s="415">
        <f>IF(K12-K22-K31=FBA!G33,K12-K22-K31,0)</f>
        <v>64174.979999999996</v>
      </c>
      <c r="L51" s="415">
        <f>IF(L12-L22-L31+L41=FBA!G34,L12-L22-L31+L41,0)</f>
        <v>0</v>
      </c>
      <c r="M51" s="415">
        <f>IF(M12-M22-M31=FBA!G35,M12-M22-M31,0)</f>
        <v>21566.449999999997</v>
      </c>
      <c r="N51" s="415">
        <f>N12+N41</f>
        <v>0</v>
      </c>
      <c r="O51" s="415">
        <f>O12-O22-O31</f>
        <v>251147.67000000004</v>
      </c>
      <c r="P51" s="415">
        <f>P12-P31</f>
        <v>0</v>
      </c>
      <c r="Q51" s="415">
        <f>Q12-Q31</f>
        <v>0</v>
      </c>
      <c r="R51" s="415">
        <f>IF(SUM(E51:Q51)=FBA!G27,SUM(E51:Q51),0)</f>
        <v>39307686.54000001</v>
      </c>
    </row>
    <row r="52" spans="1:18" ht="12.75">
      <c r="A52" s="4" t="s">
        <v>705</v>
      </c>
      <c r="B52" s="4"/>
      <c r="C52" s="4"/>
      <c r="D52" s="4"/>
      <c r="E52" s="4"/>
      <c r="F52" s="4"/>
      <c r="G52" s="4"/>
      <c r="H52" s="142"/>
      <c r="I52" s="142"/>
      <c r="J52" s="142"/>
      <c r="K52" s="142"/>
      <c r="L52" s="142"/>
      <c r="M52" s="142"/>
      <c r="N52" s="142"/>
      <c r="O52" s="142"/>
      <c r="P52" s="142"/>
      <c r="Q52" s="142"/>
      <c r="R52" s="142"/>
    </row>
    <row r="53" spans="1:18" ht="12.75">
      <c r="A53" s="4" t="s">
        <v>706</v>
      </c>
      <c r="B53" s="4"/>
      <c r="C53" s="4"/>
      <c r="D53" s="4"/>
      <c r="E53" s="4"/>
      <c r="F53" s="4"/>
      <c r="G53" s="4"/>
      <c r="H53" s="142"/>
      <c r="I53" s="142"/>
      <c r="J53" s="142"/>
      <c r="K53" s="142"/>
      <c r="L53" s="142"/>
      <c r="M53" s="142"/>
      <c r="N53" s="142"/>
      <c r="O53" s="142"/>
      <c r="P53" s="142"/>
      <c r="Q53" s="142"/>
      <c r="R53" s="142"/>
    </row>
    <row r="54" spans="1:18" ht="12.75">
      <c r="A54" s="4"/>
      <c r="B54" s="142"/>
      <c r="C54" s="142"/>
      <c r="D54" s="142"/>
      <c r="E54" s="142"/>
      <c r="F54" s="142"/>
      <c r="G54" s="142"/>
      <c r="H54" s="142"/>
      <c r="I54" s="142"/>
      <c r="J54" s="142"/>
      <c r="K54" s="142"/>
      <c r="L54" s="142"/>
      <c r="M54" s="142"/>
      <c r="N54" s="142"/>
      <c r="O54" s="142"/>
      <c r="P54" s="142"/>
      <c r="Q54" s="142"/>
      <c r="R54" s="142"/>
    </row>
    <row r="55" spans="1:18" ht="12.75">
      <c r="A55" s="4"/>
      <c r="B55" s="142"/>
      <c r="C55" s="142"/>
      <c r="D55" s="142"/>
      <c r="E55" s="142"/>
      <c r="F55" s="142"/>
      <c r="G55" s="142"/>
      <c r="H55" s="142"/>
      <c r="I55" s="142"/>
      <c r="J55" s="142"/>
      <c r="K55" s="142"/>
      <c r="L55" s="142"/>
      <c r="M55" s="142"/>
      <c r="N55" s="142"/>
      <c r="O55" s="142"/>
      <c r="P55" s="142"/>
      <c r="Q55" s="142"/>
      <c r="R55" s="142"/>
    </row>
    <row r="56" spans="1:18" ht="12.75">
      <c r="A56" s="4"/>
      <c r="B56" s="142"/>
      <c r="C56" s="142"/>
      <c r="D56" s="142"/>
      <c r="E56" s="142"/>
      <c r="F56" s="142"/>
      <c r="G56" s="142"/>
      <c r="H56" s="142"/>
      <c r="I56" s="142"/>
      <c r="J56" s="142"/>
      <c r="K56" s="142"/>
      <c r="L56" s="142"/>
      <c r="M56" s="142"/>
      <c r="N56" s="142"/>
      <c r="O56" s="142"/>
      <c r="P56" s="142"/>
      <c r="Q56" s="142"/>
      <c r="R56" s="142"/>
    </row>
    <row r="57" spans="1:18" ht="12.75">
      <c r="A57" s="4"/>
      <c r="B57" s="142"/>
      <c r="C57" s="142"/>
      <c r="D57" s="142"/>
      <c r="E57" s="142"/>
      <c r="F57" s="142"/>
      <c r="G57" s="142"/>
      <c r="H57" s="142"/>
      <c r="I57" s="142"/>
      <c r="J57" s="142"/>
      <c r="K57" s="142"/>
      <c r="L57" s="142"/>
      <c r="M57" s="142"/>
      <c r="N57" s="142"/>
      <c r="O57" s="142"/>
      <c r="P57" s="142"/>
      <c r="Q57" s="142"/>
      <c r="R57" s="142"/>
    </row>
    <row r="58" spans="1:18" ht="12.75">
      <c r="A58" s="4"/>
      <c r="B58" s="142"/>
      <c r="C58" s="142"/>
      <c r="D58" s="142"/>
      <c r="E58" s="142"/>
      <c r="F58" s="142"/>
      <c r="G58" s="142"/>
      <c r="H58" s="142"/>
      <c r="I58" s="142"/>
      <c r="J58" s="142"/>
      <c r="K58" s="142"/>
      <c r="L58" s="142"/>
      <c r="M58" s="142"/>
      <c r="N58" s="142"/>
      <c r="O58" s="142"/>
      <c r="P58" s="142"/>
      <c r="Q58" s="142"/>
      <c r="R58" s="142"/>
    </row>
    <row r="59" spans="1:18" ht="12.75">
      <c r="A59" s="4"/>
      <c r="B59" s="142"/>
      <c r="C59" s="142"/>
      <c r="D59" s="142"/>
      <c r="E59" s="142"/>
      <c r="F59" s="142"/>
      <c r="G59" s="142"/>
      <c r="H59" s="142"/>
      <c r="I59" s="142"/>
      <c r="J59" s="142"/>
      <c r="K59" s="142"/>
      <c r="L59" s="142"/>
      <c r="M59" s="142"/>
      <c r="N59" s="142"/>
      <c r="O59" s="142"/>
      <c r="P59" s="142"/>
      <c r="Q59" s="142"/>
      <c r="R59" s="142"/>
    </row>
    <row r="60" spans="1:18" ht="12.75">
      <c r="A60" s="4"/>
      <c r="B60" s="142"/>
      <c r="C60" s="142"/>
      <c r="D60" s="142"/>
      <c r="E60" s="142"/>
      <c r="F60" s="142"/>
      <c r="G60" s="142"/>
      <c r="H60" s="142"/>
      <c r="I60" s="142"/>
      <c r="J60" s="142"/>
      <c r="K60" s="142"/>
      <c r="L60" s="142"/>
      <c r="M60" s="142"/>
      <c r="N60" s="142"/>
      <c r="O60" s="142"/>
      <c r="P60" s="142"/>
      <c r="Q60" s="142"/>
      <c r="R60" s="142"/>
    </row>
    <row r="61" spans="1:18" ht="12.75">
      <c r="A61" s="4"/>
      <c r="B61" s="142"/>
      <c r="C61" s="142"/>
      <c r="D61" s="142"/>
      <c r="E61" s="142"/>
      <c r="F61" s="142"/>
      <c r="G61" s="142"/>
      <c r="H61" s="142"/>
      <c r="I61" s="142"/>
      <c r="J61" s="142"/>
      <c r="K61" s="142"/>
      <c r="L61" s="142"/>
      <c r="M61" s="142"/>
      <c r="N61" s="142"/>
      <c r="O61" s="142"/>
      <c r="P61" s="142"/>
      <c r="Q61" s="142"/>
      <c r="R61" s="142"/>
    </row>
    <row r="62" spans="1:18" ht="12.75">
      <c r="A62" s="4"/>
      <c r="B62" s="142"/>
      <c r="C62" s="142"/>
      <c r="D62" s="142"/>
      <c r="E62" s="142"/>
      <c r="F62" s="142"/>
      <c r="G62" s="142"/>
      <c r="H62" s="142"/>
      <c r="I62" s="142"/>
      <c r="J62" s="142"/>
      <c r="K62" s="142"/>
      <c r="L62" s="142"/>
      <c r="M62" s="142"/>
      <c r="N62" s="142"/>
      <c r="O62" s="142"/>
      <c r="P62" s="142"/>
      <c r="Q62" s="142"/>
      <c r="R62" s="142"/>
    </row>
    <row r="63" spans="1:18" ht="12.75">
      <c r="A63" s="4"/>
      <c r="B63" s="142"/>
      <c r="C63" s="142"/>
      <c r="D63" s="142"/>
      <c r="E63" s="142"/>
      <c r="F63" s="142"/>
      <c r="G63" s="142"/>
      <c r="H63" s="142"/>
      <c r="I63" s="142"/>
      <c r="J63" s="142"/>
      <c r="K63" s="142"/>
      <c r="L63" s="142"/>
      <c r="M63" s="142"/>
      <c r="N63" s="142"/>
      <c r="O63" s="142"/>
      <c r="P63" s="142"/>
      <c r="Q63" s="142"/>
      <c r="R63" s="142"/>
    </row>
    <row r="64" spans="1:18" ht="12.75">
      <c r="A64" s="4"/>
      <c r="B64" s="142"/>
      <c r="C64" s="142"/>
      <c r="D64" s="142"/>
      <c r="E64" s="142"/>
      <c r="F64" s="142"/>
      <c r="G64" s="142"/>
      <c r="H64" s="142"/>
      <c r="I64" s="142"/>
      <c r="J64" s="142"/>
      <c r="K64" s="142"/>
      <c r="L64" s="142"/>
      <c r="M64" s="142"/>
      <c r="N64" s="142"/>
      <c r="O64" s="142"/>
      <c r="P64" s="142"/>
      <c r="Q64" s="142"/>
      <c r="R64" s="142"/>
    </row>
    <row r="65" spans="1:18" ht="12.75">
      <c r="A65" s="4"/>
      <c r="B65" s="142"/>
      <c r="C65" s="142"/>
      <c r="D65" s="142"/>
      <c r="E65" s="142"/>
      <c r="F65" s="142"/>
      <c r="G65" s="142"/>
      <c r="H65" s="142"/>
      <c r="I65" s="142"/>
      <c r="J65" s="142"/>
      <c r="K65" s="142"/>
      <c r="L65" s="142"/>
      <c r="M65" s="142"/>
      <c r="N65" s="142"/>
      <c r="O65" s="142"/>
      <c r="P65" s="142"/>
      <c r="Q65" s="142"/>
      <c r="R65" s="142"/>
    </row>
    <row r="66" spans="1:18" ht="12.75">
      <c r="A66" s="4"/>
      <c r="B66" s="142"/>
      <c r="C66" s="142"/>
      <c r="D66" s="142"/>
      <c r="E66" s="142"/>
      <c r="F66" s="142"/>
      <c r="G66" s="142"/>
      <c r="H66" s="142"/>
      <c r="I66" s="142"/>
      <c r="J66" s="142"/>
      <c r="K66" s="142"/>
      <c r="L66" s="142"/>
      <c r="M66" s="142"/>
      <c r="N66" s="142"/>
      <c r="O66" s="142"/>
      <c r="P66" s="142"/>
      <c r="Q66" s="142"/>
      <c r="R66" s="142"/>
    </row>
    <row r="67" spans="1:18" ht="12.75">
      <c r="A67" s="4"/>
      <c r="B67" s="142"/>
      <c r="C67" s="142"/>
      <c r="D67" s="142"/>
      <c r="E67" s="142"/>
      <c r="F67" s="142"/>
      <c r="G67" s="142"/>
      <c r="H67" s="142"/>
      <c r="I67" s="142"/>
      <c r="J67" s="142"/>
      <c r="K67" s="142"/>
      <c r="L67" s="142"/>
      <c r="M67" s="142"/>
      <c r="N67" s="142"/>
      <c r="O67" s="142"/>
      <c r="P67" s="142"/>
      <c r="Q67" s="142"/>
      <c r="R67" s="142"/>
    </row>
    <row r="68" spans="1:18" ht="12.75">
      <c r="A68" s="4"/>
      <c r="B68" s="142"/>
      <c r="C68" s="142"/>
      <c r="D68" s="142"/>
      <c r="E68" s="142"/>
      <c r="F68" s="142"/>
      <c r="G68" s="142"/>
      <c r="H68" s="142"/>
      <c r="I68" s="142"/>
      <c r="J68" s="142"/>
      <c r="K68" s="142"/>
      <c r="L68" s="142"/>
      <c r="M68" s="142"/>
      <c r="N68" s="142"/>
      <c r="O68" s="142"/>
      <c r="P68" s="142"/>
      <c r="Q68" s="142"/>
      <c r="R68" s="142"/>
    </row>
  </sheetData>
  <sheetProtection/>
  <mergeCells count="43">
    <mergeCell ref="B40:D40"/>
    <mergeCell ref="B41:D41"/>
    <mergeCell ref="B51:D51"/>
    <mergeCell ref="C44:D44"/>
    <mergeCell ref="C48:D48"/>
    <mergeCell ref="B49:D49"/>
    <mergeCell ref="B50:D50"/>
    <mergeCell ref="B42:D42"/>
    <mergeCell ref="C43:D43"/>
    <mergeCell ref="C29:D29"/>
    <mergeCell ref="B30:D30"/>
    <mergeCell ref="B31:D31"/>
    <mergeCell ref="C32:D32"/>
    <mergeCell ref="C33:D33"/>
    <mergeCell ref="C34:D34"/>
    <mergeCell ref="C35:D35"/>
    <mergeCell ref="C39:D39"/>
    <mergeCell ref="B11:D11"/>
    <mergeCell ref="B12:D12"/>
    <mergeCell ref="L9:L10"/>
    <mergeCell ref="M9:M10"/>
    <mergeCell ref="J9:J10"/>
    <mergeCell ref="K9:K10"/>
    <mergeCell ref="H9:H10"/>
    <mergeCell ref="I9:I10"/>
    <mergeCell ref="A5:R5"/>
    <mergeCell ref="A7:R7"/>
    <mergeCell ref="A9:A10"/>
    <mergeCell ref="B9:D10"/>
    <mergeCell ref="E9:E10"/>
    <mergeCell ref="F9:G9"/>
    <mergeCell ref="Q9:Q10"/>
    <mergeCell ref="R9:R10"/>
    <mergeCell ref="N9:O9"/>
    <mergeCell ref="P9:P10"/>
    <mergeCell ref="B22:D22"/>
    <mergeCell ref="C23:D23"/>
    <mergeCell ref="C24:D24"/>
    <mergeCell ref="C25:D25"/>
    <mergeCell ref="C13:D13"/>
    <mergeCell ref="B16:D16"/>
    <mergeCell ref="C20:D20"/>
    <mergeCell ref="B21:D21"/>
  </mergeCells>
  <printOptions/>
  <pageMargins left="0.75" right="0.75" top="0.3937007874015748" bottom="0.1968503937007874" header="0.5118110236220472" footer="0.5118110236220472"/>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A1:J38"/>
  <sheetViews>
    <sheetView zoomScalePageLayoutView="0" workbookViewId="0" topLeftCell="A4">
      <selection activeCell="D16" sqref="D16"/>
    </sheetView>
  </sheetViews>
  <sheetFormatPr defaultColWidth="9.140625" defaultRowHeight="12.75"/>
  <cols>
    <col min="1" max="1" width="6.421875" style="172" customWidth="1"/>
    <col min="2" max="2" width="30.57421875" style="172" customWidth="1"/>
    <col min="3" max="3" width="13.421875" style="172" customWidth="1"/>
    <col min="4" max="4" width="12.00390625" style="172" customWidth="1"/>
    <col min="5" max="5" width="15.28125" style="172" customWidth="1"/>
    <col min="6" max="6" width="15.421875" style="172" customWidth="1"/>
    <col min="7" max="7" width="9.140625" style="172" customWidth="1"/>
    <col min="8" max="8" width="12.140625" style="172" customWidth="1"/>
    <col min="9" max="9" width="11.421875" style="172" customWidth="1"/>
    <col min="10" max="10" width="13.28125" style="172" customWidth="1"/>
    <col min="11" max="16384" width="9.140625" style="172" customWidth="1"/>
  </cols>
  <sheetData>
    <row r="1" spans="1:10" ht="12.75">
      <c r="A1" s="171"/>
      <c r="B1" s="171"/>
      <c r="C1" s="171"/>
      <c r="D1" s="171"/>
      <c r="E1" s="171"/>
      <c r="F1" s="171"/>
      <c r="G1" s="171"/>
      <c r="H1" s="118" t="s">
        <v>1</v>
      </c>
      <c r="I1" s="171"/>
      <c r="J1" s="171"/>
    </row>
    <row r="2" spans="1:10" ht="12.75">
      <c r="A2" s="171"/>
      <c r="B2" s="171"/>
      <c r="C2" s="171"/>
      <c r="D2" s="171"/>
      <c r="E2" s="171"/>
      <c r="F2" s="171"/>
      <c r="G2" s="171"/>
      <c r="H2" s="118" t="s">
        <v>2</v>
      </c>
      <c r="I2" s="171"/>
      <c r="J2" s="171"/>
    </row>
    <row r="3" spans="1:10" ht="12.75">
      <c r="A3" s="171"/>
      <c r="B3" s="171"/>
      <c r="C3" s="171"/>
      <c r="D3" s="171"/>
      <c r="E3" s="171"/>
      <c r="F3" s="171"/>
      <c r="G3" s="171"/>
      <c r="H3" s="4" t="s">
        <v>65</v>
      </c>
      <c r="I3" s="4"/>
      <c r="J3" s="171"/>
    </row>
    <row r="4" spans="1:10" ht="3.75" customHeight="1">
      <c r="A4" s="171"/>
      <c r="B4" s="171"/>
      <c r="C4" s="171"/>
      <c r="D4" s="171"/>
      <c r="E4" s="171"/>
      <c r="F4" s="171"/>
      <c r="G4" s="171"/>
      <c r="H4" s="171"/>
      <c r="I4" s="171"/>
      <c r="J4" s="171"/>
    </row>
    <row r="5" spans="1:10" ht="17.25" customHeight="1">
      <c r="A5" s="636" t="s">
        <v>3</v>
      </c>
      <c r="B5" s="636"/>
      <c r="C5" s="636"/>
      <c r="D5" s="636"/>
      <c r="E5" s="636"/>
      <c r="F5" s="636"/>
      <c r="G5" s="636"/>
      <c r="H5" s="636"/>
      <c r="I5" s="636"/>
      <c r="J5" s="636"/>
    </row>
    <row r="6" spans="1:10" ht="12.75">
      <c r="A6" s="171"/>
      <c r="B6" s="171"/>
      <c r="C6" s="171"/>
      <c r="D6" s="171"/>
      <c r="E6" s="171"/>
      <c r="F6" s="171"/>
      <c r="G6" s="171"/>
      <c r="H6" s="171"/>
      <c r="I6" s="171"/>
      <c r="J6" s="171"/>
    </row>
    <row r="7" spans="1:10" ht="15.75">
      <c r="A7" s="579" t="s">
        <v>4</v>
      </c>
      <c r="B7" s="579"/>
      <c r="C7" s="579"/>
      <c r="D7" s="579"/>
      <c r="E7" s="579"/>
      <c r="F7" s="579"/>
      <c r="G7" s="579"/>
      <c r="H7" s="579"/>
      <c r="I7" s="579"/>
      <c r="J7" s="579"/>
    </row>
    <row r="8" spans="1:10" ht="12.75">
      <c r="A8" s="171"/>
      <c r="B8" s="171"/>
      <c r="C8" s="171"/>
      <c r="D8" s="171"/>
      <c r="E8" s="171"/>
      <c r="F8" s="171"/>
      <c r="G8" s="171"/>
      <c r="H8" s="171"/>
      <c r="I8" s="171"/>
      <c r="J8" s="171"/>
    </row>
    <row r="9" spans="1:10" ht="47.25" customHeight="1">
      <c r="A9" s="648" t="s">
        <v>295</v>
      </c>
      <c r="B9" s="648" t="s">
        <v>296</v>
      </c>
      <c r="C9" s="648" t="s">
        <v>345</v>
      </c>
      <c r="D9" s="648" t="s">
        <v>346</v>
      </c>
      <c r="E9" s="653" t="s">
        <v>347</v>
      </c>
      <c r="F9" s="654"/>
      <c r="G9" s="653" t="s">
        <v>5</v>
      </c>
      <c r="H9" s="654"/>
      <c r="I9" s="648" t="s">
        <v>349</v>
      </c>
      <c r="J9" s="650" t="s">
        <v>506</v>
      </c>
    </row>
    <row r="10" spans="1:10" ht="24" customHeight="1">
      <c r="A10" s="649"/>
      <c r="B10" s="649"/>
      <c r="C10" s="649"/>
      <c r="D10" s="649"/>
      <c r="E10" s="173" t="s">
        <v>6</v>
      </c>
      <c r="F10" s="173" t="s">
        <v>7</v>
      </c>
      <c r="G10" s="173" t="s">
        <v>8</v>
      </c>
      <c r="H10" s="173" t="s">
        <v>9</v>
      </c>
      <c r="I10" s="649"/>
      <c r="J10" s="651"/>
    </row>
    <row r="11" spans="1:10" ht="12.75">
      <c r="A11" s="174">
        <v>1</v>
      </c>
      <c r="B11" s="175">
        <v>2</v>
      </c>
      <c r="C11" s="175">
        <v>3</v>
      </c>
      <c r="D11" s="175">
        <v>4</v>
      </c>
      <c r="E11" s="175">
        <v>5</v>
      </c>
      <c r="F11" s="175">
        <v>6</v>
      </c>
      <c r="G11" s="175">
        <v>7</v>
      </c>
      <c r="H11" s="174">
        <v>8</v>
      </c>
      <c r="I11" s="175">
        <v>9</v>
      </c>
      <c r="J11" s="353">
        <v>10</v>
      </c>
    </row>
    <row r="12" spans="1:10" ht="24">
      <c r="A12" s="354" t="s">
        <v>509</v>
      </c>
      <c r="B12" s="355" t="s">
        <v>10</v>
      </c>
      <c r="C12" s="428"/>
      <c r="D12" s="428">
        <v>27200.52</v>
      </c>
      <c r="E12" s="428"/>
      <c r="F12" s="428"/>
      <c r="G12" s="428"/>
      <c r="H12" s="428"/>
      <c r="I12" s="428"/>
      <c r="J12" s="429">
        <f>SUM(C12:I12)</f>
        <v>27200.52</v>
      </c>
    </row>
    <row r="13" spans="1:10" ht="24">
      <c r="A13" s="356" t="s">
        <v>510</v>
      </c>
      <c r="B13" s="357" t="s">
        <v>11</v>
      </c>
      <c r="C13" s="430">
        <f>C14+C15</f>
        <v>0</v>
      </c>
      <c r="D13" s="430">
        <f aca="true" t="shared" si="0" ref="D13:I13">D14+D15</f>
        <v>225613.32</v>
      </c>
      <c r="E13" s="430">
        <f t="shared" si="0"/>
        <v>0</v>
      </c>
      <c r="F13" s="430">
        <f t="shared" si="0"/>
        <v>0</v>
      </c>
      <c r="G13" s="430">
        <f t="shared" si="0"/>
        <v>0</v>
      </c>
      <c r="H13" s="430">
        <f t="shared" si="0"/>
        <v>0</v>
      </c>
      <c r="I13" s="430">
        <f t="shared" si="0"/>
        <v>0</v>
      </c>
      <c r="J13" s="429">
        <f aca="true" t="shared" si="1" ref="J13:J33">SUM(C13:I13)</f>
        <v>225613.32</v>
      </c>
    </row>
    <row r="14" spans="1:10" ht="12.75">
      <c r="A14" s="173" t="s">
        <v>622</v>
      </c>
      <c r="B14" s="177" t="s">
        <v>12</v>
      </c>
      <c r="C14" s="431"/>
      <c r="D14" s="431">
        <f>146153.73+1084.58+78375.01-3965.17</f>
        <v>221648.15</v>
      </c>
      <c r="E14" s="431"/>
      <c r="F14" s="431"/>
      <c r="G14" s="431"/>
      <c r="H14" s="431"/>
      <c r="I14" s="431"/>
      <c r="J14" s="429">
        <f t="shared" si="1"/>
        <v>221648.15</v>
      </c>
    </row>
    <row r="15" spans="1:10" ht="24">
      <c r="A15" s="173" t="s">
        <v>624</v>
      </c>
      <c r="B15" s="177" t="s">
        <v>13</v>
      </c>
      <c r="C15" s="431"/>
      <c r="D15" s="431">
        <v>3965.17</v>
      </c>
      <c r="E15" s="431"/>
      <c r="F15" s="431"/>
      <c r="G15" s="431"/>
      <c r="H15" s="431"/>
      <c r="I15" s="431"/>
      <c r="J15" s="429">
        <f t="shared" si="1"/>
        <v>3965.17</v>
      </c>
    </row>
    <row r="16" spans="1:10" ht="24">
      <c r="A16" s="356" t="s">
        <v>513</v>
      </c>
      <c r="B16" s="357" t="s">
        <v>14</v>
      </c>
      <c r="C16" s="430">
        <f>C17+C18+C19+C20</f>
        <v>0</v>
      </c>
      <c r="D16" s="430">
        <f aca="true" t="shared" si="2" ref="D16:I16">D17+D18+D19+D20</f>
        <v>218180.93</v>
      </c>
      <c r="E16" s="430">
        <f t="shared" si="2"/>
        <v>0</v>
      </c>
      <c r="F16" s="430">
        <f t="shared" si="2"/>
        <v>0</v>
      </c>
      <c r="G16" s="430">
        <f t="shared" si="2"/>
        <v>0</v>
      </c>
      <c r="H16" s="430">
        <f t="shared" si="2"/>
        <v>0</v>
      </c>
      <c r="I16" s="430">
        <f t="shared" si="2"/>
        <v>0</v>
      </c>
      <c r="J16" s="429">
        <f t="shared" si="1"/>
        <v>218180.93</v>
      </c>
    </row>
    <row r="17" spans="1:10" ht="12.75">
      <c r="A17" s="173" t="s">
        <v>627</v>
      </c>
      <c r="B17" s="177" t="s">
        <v>15</v>
      </c>
      <c r="C17" s="432"/>
      <c r="D17" s="432"/>
      <c r="E17" s="432"/>
      <c r="F17" s="432"/>
      <c r="G17" s="432"/>
      <c r="H17" s="432"/>
      <c r="I17" s="432"/>
      <c r="J17" s="429">
        <f t="shared" si="1"/>
        <v>0</v>
      </c>
    </row>
    <row r="18" spans="1:10" ht="12.75">
      <c r="A18" s="173" t="s">
        <v>629</v>
      </c>
      <c r="B18" s="177" t="s">
        <v>16</v>
      </c>
      <c r="C18" s="432"/>
      <c r="D18" s="432"/>
      <c r="E18" s="432"/>
      <c r="F18" s="432"/>
      <c r="G18" s="432"/>
      <c r="H18" s="432"/>
      <c r="I18" s="432"/>
      <c r="J18" s="429">
        <f t="shared" si="1"/>
        <v>0</v>
      </c>
    </row>
    <row r="19" spans="1:10" ht="12.75">
      <c r="A19" s="173" t="s">
        <v>631</v>
      </c>
      <c r="B19" s="177" t="s">
        <v>17</v>
      </c>
      <c r="C19" s="432"/>
      <c r="D19" s="432">
        <f>136753.02+80510.59+917.32</f>
        <v>218180.93</v>
      </c>
      <c r="E19" s="432"/>
      <c r="F19" s="432"/>
      <c r="G19" s="432"/>
      <c r="H19" s="432"/>
      <c r="I19" s="432"/>
      <c r="J19" s="429">
        <f t="shared" si="1"/>
        <v>218180.93</v>
      </c>
    </row>
    <row r="20" spans="1:10" ht="12.75">
      <c r="A20" s="173" t="s">
        <v>719</v>
      </c>
      <c r="B20" s="177" t="s">
        <v>18</v>
      </c>
      <c r="C20" s="432"/>
      <c r="D20" s="432"/>
      <c r="E20" s="432"/>
      <c r="F20" s="432"/>
      <c r="G20" s="432"/>
      <c r="H20" s="432"/>
      <c r="I20" s="432"/>
      <c r="J20" s="429">
        <f t="shared" si="1"/>
        <v>0</v>
      </c>
    </row>
    <row r="21" spans="1:10" ht="12.75">
      <c r="A21" s="173" t="s">
        <v>515</v>
      </c>
      <c r="B21" s="176" t="s">
        <v>633</v>
      </c>
      <c r="C21" s="432"/>
      <c r="D21" s="432"/>
      <c r="E21" s="432"/>
      <c r="F21" s="432"/>
      <c r="G21" s="432"/>
      <c r="H21" s="432"/>
      <c r="I21" s="432"/>
      <c r="J21" s="429">
        <f t="shared" si="1"/>
        <v>0</v>
      </c>
    </row>
    <row r="22" spans="1:10" ht="24" customHeight="1">
      <c r="A22" s="352" t="s">
        <v>517</v>
      </c>
      <c r="B22" s="358" t="s">
        <v>19</v>
      </c>
      <c r="C22" s="433">
        <f>C12+C13-C16+C21</f>
        <v>0</v>
      </c>
      <c r="D22" s="433">
        <f aca="true" t="shared" si="3" ref="D22:I22">D12+D13-D16+D21</f>
        <v>34632.91</v>
      </c>
      <c r="E22" s="433">
        <f t="shared" si="3"/>
        <v>0</v>
      </c>
      <c r="F22" s="433">
        <f t="shared" si="3"/>
        <v>0</v>
      </c>
      <c r="G22" s="433">
        <f t="shared" si="3"/>
        <v>0</v>
      </c>
      <c r="H22" s="433">
        <f t="shared" si="3"/>
        <v>0</v>
      </c>
      <c r="I22" s="433">
        <f t="shared" si="3"/>
        <v>0</v>
      </c>
      <c r="J22" s="429">
        <f t="shared" si="1"/>
        <v>34632.91</v>
      </c>
    </row>
    <row r="23" spans="1:10" ht="24">
      <c r="A23" s="173" t="s">
        <v>519</v>
      </c>
      <c r="B23" s="178" t="s">
        <v>20</v>
      </c>
      <c r="C23" s="432"/>
      <c r="D23" s="432"/>
      <c r="E23" s="432"/>
      <c r="F23" s="432"/>
      <c r="G23" s="432"/>
      <c r="H23" s="432"/>
      <c r="I23" s="432"/>
      <c r="J23" s="429">
        <f t="shared" si="1"/>
        <v>0</v>
      </c>
    </row>
    <row r="24" spans="1:10" ht="36">
      <c r="A24" s="173" t="s">
        <v>521</v>
      </c>
      <c r="B24" s="178" t="s">
        <v>21</v>
      </c>
      <c r="C24" s="432"/>
      <c r="D24" s="432"/>
      <c r="E24" s="432"/>
      <c r="F24" s="432"/>
      <c r="G24" s="432"/>
      <c r="H24" s="432"/>
      <c r="I24" s="432"/>
      <c r="J24" s="429">
        <f t="shared" si="1"/>
        <v>0</v>
      </c>
    </row>
    <row r="25" spans="1:10" ht="24">
      <c r="A25" s="173" t="s">
        <v>523</v>
      </c>
      <c r="B25" s="179" t="s">
        <v>22</v>
      </c>
      <c r="C25" s="432"/>
      <c r="D25" s="432"/>
      <c r="E25" s="432"/>
      <c r="F25" s="432"/>
      <c r="G25" s="432"/>
      <c r="H25" s="432"/>
      <c r="I25" s="432"/>
      <c r="J25" s="429">
        <f t="shared" si="1"/>
        <v>0</v>
      </c>
    </row>
    <row r="26" spans="1:10" ht="24">
      <c r="A26" s="173" t="s">
        <v>525</v>
      </c>
      <c r="B26" s="179" t="s">
        <v>84</v>
      </c>
      <c r="C26" s="432"/>
      <c r="D26" s="432"/>
      <c r="E26" s="432"/>
      <c r="F26" s="432"/>
      <c r="G26" s="432"/>
      <c r="H26" s="432"/>
      <c r="I26" s="432"/>
      <c r="J26" s="429">
        <f t="shared" si="1"/>
        <v>0</v>
      </c>
    </row>
    <row r="27" spans="1:10" ht="48">
      <c r="A27" s="356" t="s">
        <v>526</v>
      </c>
      <c r="B27" s="359" t="s">
        <v>85</v>
      </c>
      <c r="C27" s="429">
        <f>C28+C29+C30+C31</f>
        <v>0</v>
      </c>
      <c r="D27" s="429">
        <f aca="true" t="shared" si="4" ref="D27:I27">D28+D29+D30+D31</f>
        <v>0</v>
      </c>
      <c r="E27" s="429">
        <f t="shared" si="4"/>
        <v>0</v>
      </c>
      <c r="F27" s="429">
        <f t="shared" si="4"/>
        <v>0</v>
      </c>
      <c r="G27" s="429">
        <f t="shared" si="4"/>
        <v>0</v>
      </c>
      <c r="H27" s="429">
        <f t="shared" si="4"/>
        <v>0</v>
      </c>
      <c r="I27" s="429">
        <f t="shared" si="4"/>
        <v>0</v>
      </c>
      <c r="J27" s="429">
        <f t="shared" si="1"/>
        <v>0</v>
      </c>
    </row>
    <row r="28" spans="1:10" ht="12.75">
      <c r="A28" s="173" t="s">
        <v>86</v>
      </c>
      <c r="B28" s="180" t="s">
        <v>15</v>
      </c>
      <c r="C28" s="432"/>
      <c r="D28" s="432"/>
      <c r="E28" s="432"/>
      <c r="F28" s="432"/>
      <c r="G28" s="432"/>
      <c r="H28" s="432"/>
      <c r="I28" s="432"/>
      <c r="J28" s="429">
        <f t="shared" si="1"/>
        <v>0</v>
      </c>
    </row>
    <row r="29" spans="1:10" ht="12.75">
      <c r="A29" s="173" t="s">
        <v>87</v>
      </c>
      <c r="B29" s="180" t="s">
        <v>16</v>
      </c>
      <c r="C29" s="432"/>
      <c r="D29" s="432"/>
      <c r="E29" s="432"/>
      <c r="F29" s="432"/>
      <c r="G29" s="432"/>
      <c r="H29" s="432"/>
      <c r="I29" s="432"/>
      <c r="J29" s="429">
        <f t="shared" si="1"/>
        <v>0</v>
      </c>
    </row>
    <row r="30" spans="1:10" ht="12.75">
      <c r="A30" s="173" t="s">
        <v>88</v>
      </c>
      <c r="B30" s="180" t="s">
        <v>17</v>
      </c>
      <c r="C30" s="432"/>
      <c r="D30" s="432"/>
      <c r="E30" s="432"/>
      <c r="F30" s="432"/>
      <c r="G30" s="432"/>
      <c r="H30" s="432"/>
      <c r="I30" s="432"/>
      <c r="J30" s="429">
        <f t="shared" si="1"/>
        <v>0</v>
      </c>
    </row>
    <row r="31" spans="1:10" ht="12.75">
      <c r="A31" s="173" t="s">
        <v>89</v>
      </c>
      <c r="B31" s="180" t="s">
        <v>18</v>
      </c>
      <c r="C31" s="432"/>
      <c r="D31" s="432"/>
      <c r="E31" s="432"/>
      <c r="F31" s="432"/>
      <c r="G31" s="432"/>
      <c r="H31" s="432"/>
      <c r="I31" s="432"/>
      <c r="J31" s="429">
        <f t="shared" si="1"/>
        <v>0</v>
      </c>
    </row>
    <row r="32" spans="1:10" ht="12.75">
      <c r="A32" s="173" t="s">
        <v>527</v>
      </c>
      <c r="B32" s="179" t="s">
        <v>90</v>
      </c>
      <c r="C32" s="432"/>
      <c r="D32" s="432"/>
      <c r="E32" s="432"/>
      <c r="F32" s="432"/>
      <c r="G32" s="432"/>
      <c r="H32" s="432"/>
      <c r="I32" s="432"/>
      <c r="J32" s="429">
        <f t="shared" si="1"/>
        <v>0</v>
      </c>
    </row>
    <row r="33" spans="1:10" ht="27.75" customHeight="1">
      <c r="A33" s="352" t="s">
        <v>528</v>
      </c>
      <c r="B33" s="360" t="s">
        <v>91</v>
      </c>
      <c r="C33" s="429">
        <f>C23+C24+C25-C26+C32</f>
        <v>0</v>
      </c>
      <c r="D33" s="429">
        <f aca="true" t="shared" si="5" ref="D33:I33">D23+D24+D25-D26+D32</f>
        <v>0</v>
      </c>
      <c r="E33" s="429">
        <f t="shared" si="5"/>
        <v>0</v>
      </c>
      <c r="F33" s="429">
        <f t="shared" si="5"/>
        <v>0</v>
      </c>
      <c r="G33" s="429">
        <f t="shared" si="5"/>
        <v>0</v>
      </c>
      <c r="H33" s="429">
        <f t="shared" si="5"/>
        <v>0</v>
      </c>
      <c r="I33" s="429">
        <f t="shared" si="5"/>
        <v>0</v>
      </c>
      <c r="J33" s="429">
        <f t="shared" si="1"/>
        <v>0</v>
      </c>
    </row>
    <row r="34" spans="1:10" ht="24">
      <c r="A34" s="352" t="s">
        <v>529</v>
      </c>
      <c r="B34" s="360" t="s">
        <v>92</v>
      </c>
      <c r="C34" s="429">
        <f>IF(C22-C33=FBA!F43,C22-C33,0)</f>
        <v>0</v>
      </c>
      <c r="D34" s="429">
        <f>IF(D22-D33=FBA!F44,D22-D33,0)</f>
        <v>34632.91</v>
      </c>
      <c r="E34" s="429">
        <f>E22-E33</f>
        <v>0</v>
      </c>
      <c r="F34" s="429">
        <f>F22-F33</f>
        <v>0</v>
      </c>
      <c r="G34" s="429">
        <f>G22-G33</f>
        <v>0</v>
      </c>
      <c r="H34" s="429">
        <f>H22-H33</f>
        <v>0</v>
      </c>
      <c r="I34" s="429">
        <f>IF(I22-I33=FBA!F47,I22-I33,0)</f>
        <v>0</v>
      </c>
      <c r="J34" s="429">
        <f>IF(SUM(C34:I34)=FBA!F42,SUM(C34:I34),0)</f>
        <v>34632.91</v>
      </c>
    </row>
    <row r="35" spans="1:10" ht="24">
      <c r="A35" s="352" t="s">
        <v>530</v>
      </c>
      <c r="B35" s="360" t="s">
        <v>93</v>
      </c>
      <c r="C35" s="429">
        <f>IF(C12-C23=FBA!G43,C12-C23,0)</f>
        <v>0</v>
      </c>
      <c r="D35" s="429">
        <f>IF(D12-D23=FBA!G44,D12-D23,0)</f>
        <v>27200.52</v>
      </c>
      <c r="E35" s="429">
        <f>E12-E23</f>
        <v>0</v>
      </c>
      <c r="F35" s="429">
        <f>F12-F23</f>
        <v>0</v>
      </c>
      <c r="G35" s="429">
        <f>G12-G23</f>
        <v>0</v>
      </c>
      <c r="H35" s="429">
        <f>H12-H23</f>
        <v>0</v>
      </c>
      <c r="I35" s="429">
        <f>IF(I12-I23=FBA!G47,I12-I23,0)</f>
        <v>0</v>
      </c>
      <c r="J35" s="429">
        <f>IF(SUM(C35:I35)=FBA!G42,SUM(C35:I35),0)</f>
        <v>27200.52</v>
      </c>
    </row>
    <row r="36" spans="1:10" ht="15" customHeight="1">
      <c r="A36" s="181"/>
      <c r="B36" s="181"/>
      <c r="C36" s="171"/>
      <c r="D36" s="171"/>
      <c r="E36" s="182" t="s">
        <v>94</v>
      </c>
      <c r="F36" s="171"/>
      <c r="G36" s="171"/>
      <c r="H36" s="171"/>
      <c r="I36" s="171"/>
      <c r="J36" s="171"/>
    </row>
    <row r="37" spans="1:10" ht="12.75" customHeight="1">
      <c r="A37" s="652" t="s">
        <v>95</v>
      </c>
      <c r="B37" s="652"/>
      <c r="C37" s="652"/>
      <c r="D37" s="652"/>
      <c r="E37" s="652"/>
      <c r="F37" s="652"/>
      <c r="G37" s="652"/>
      <c r="H37" s="171"/>
      <c r="I37" s="171"/>
      <c r="J37" s="171"/>
    </row>
    <row r="38" spans="1:10" ht="12.75">
      <c r="A38" s="171"/>
      <c r="B38" s="171"/>
      <c r="C38" s="171"/>
      <c r="D38" s="171"/>
      <c r="E38" s="171"/>
      <c r="F38" s="171"/>
      <c r="G38" s="171"/>
      <c r="H38" s="171"/>
      <c r="I38" s="171"/>
      <c r="J38" s="171"/>
    </row>
  </sheetData>
  <sheetProtection/>
  <mergeCells count="11">
    <mergeCell ref="A37:G37"/>
    <mergeCell ref="D9:D10"/>
    <mergeCell ref="E9:F9"/>
    <mergeCell ref="G9:H9"/>
    <mergeCell ref="A5:J5"/>
    <mergeCell ref="A7:J7"/>
    <mergeCell ref="A9:A10"/>
    <mergeCell ref="B9:B10"/>
    <mergeCell ref="C9:C10"/>
    <mergeCell ref="J9:J10"/>
    <mergeCell ref="I9:I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C3" sqref="C3:E3"/>
    </sheetView>
  </sheetViews>
  <sheetFormatPr defaultColWidth="9.140625" defaultRowHeight="12.75"/>
  <cols>
    <col min="1" max="1" width="4.57421875" style="184" customWidth="1"/>
    <col min="2" max="2" width="1.8515625" style="184" customWidth="1"/>
    <col min="3" max="3" width="64.140625" style="184" customWidth="1"/>
    <col min="4" max="4" width="14.421875" style="184" customWidth="1"/>
    <col min="5" max="5" width="14.8515625" style="184" customWidth="1"/>
    <col min="6" max="16384" width="9.140625" style="184" customWidth="1"/>
  </cols>
  <sheetData>
    <row r="1" spans="1:5" ht="14.25">
      <c r="A1" s="185"/>
      <c r="B1" s="185"/>
      <c r="C1" s="186" t="s">
        <v>96</v>
      </c>
      <c r="D1" s="187"/>
      <c r="E1" s="187"/>
    </row>
    <row r="2" spans="1:5" ht="14.25">
      <c r="A2" s="185"/>
      <c r="B2" s="188"/>
      <c r="C2" s="157" t="s">
        <v>97</v>
      </c>
      <c r="D2" s="189"/>
      <c r="E2" s="189"/>
    </row>
    <row r="3" spans="1:5" ht="14.25">
      <c r="A3" s="185"/>
      <c r="B3" s="188"/>
      <c r="C3" s="659" t="s">
        <v>66</v>
      </c>
      <c r="D3" s="660"/>
      <c r="E3" s="660"/>
    </row>
    <row r="4" spans="1:5" ht="14.25">
      <c r="A4" s="185"/>
      <c r="B4" s="185"/>
      <c r="C4" s="185"/>
      <c r="D4" s="185"/>
      <c r="E4" s="185"/>
    </row>
    <row r="5" spans="1:5" ht="33" customHeight="1">
      <c r="A5" s="655" t="s">
        <v>98</v>
      </c>
      <c r="B5" s="655"/>
      <c r="C5" s="655"/>
      <c r="D5" s="655"/>
      <c r="E5" s="655"/>
    </row>
    <row r="6" spans="1:5" ht="12.75" customHeight="1">
      <c r="A6" s="190"/>
      <c r="B6" s="190"/>
      <c r="C6" s="190"/>
      <c r="D6" s="190"/>
      <c r="E6" s="190"/>
    </row>
    <row r="7" spans="1:5" ht="14.25">
      <c r="A7" s="656" t="s">
        <v>99</v>
      </c>
      <c r="B7" s="656"/>
      <c r="C7" s="656"/>
      <c r="D7" s="656"/>
      <c r="E7" s="656"/>
    </row>
    <row r="8" spans="1:5" ht="14.25">
      <c r="A8" s="185"/>
      <c r="B8" s="185"/>
      <c r="C8" s="185"/>
      <c r="D8" s="185"/>
      <c r="E8" s="185"/>
    </row>
    <row r="9" spans="1:5" ht="74.25" customHeight="1">
      <c r="A9" s="191" t="s">
        <v>295</v>
      </c>
      <c r="B9" s="657" t="s">
        <v>707</v>
      </c>
      <c r="C9" s="658"/>
      <c r="D9" s="191" t="s">
        <v>298</v>
      </c>
      <c r="E9" s="191" t="s">
        <v>299</v>
      </c>
    </row>
    <row r="10" spans="1:5" ht="15">
      <c r="A10" s="192">
        <v>1</v>
      </c>
      <c r="B10" s="662">
        <v>2</v>
      </c>
      <c r="C10" s="663"/>
      <c r="D10" s="192">
        <v>3</v>
      </c>
      <c r="E10" s="193">
        <v>4</v>
      </c>
    </row>
    <row r="11" spans="1:5" ht="14.25">
      <c r="A11" s="350" t="s">
        <v>509</v>
      </c>
      <c r="B11" s="664" t="s">
        <v>100</v>
      </c>
      <c r="C11" s="665"/>
      <c r="D11" s="434">
        <f>SUM(D12:D19)</f>
        <v>5943.3</v>
      </c>
      <c r="E11" s="434">
        <f>SUM(E12:E19)</f>
        <v>3194.58</v>
      </c>
    </row>
    <row r="12" spans="1:5" ht="18" customHeight="1">
      <c r="A12" s="192" t="s">
        <v>708</v>
      </c>
      <c r="B12" s="194"/>
      <c r="C12" s="195" t="s">
        <v>101</v>
      </c>
      <c r="D12" s="435"/>
      <c r="E12" s="435"/>
    </row>
    <row r="13" spans="1:5" ht="18" customHeight="1">
      <c r="A13" s="192" t="s">
        <v>709</v>
      </c>
      <c r="B13" s="194"/>
      <c r="C13" s="195" t="s">
        <v>102</v>
      </c>
      <c r="D13" s="435"/>
      <c r="E13" s="435"/>
    </row>
    <row r="14" spans="1:5" ht="18" customHeight="1">
      <c r="A14" s="196" t="s">
        <v>557</v>
      </c>
      <c r="B14" s="194"/>
      <c r="C14" s="195" t="s">
        <v>103</v>
      </c>
      <c r="D14" s="435"/>
      <c r="E14" s="435"/>
    </row>
    <row r="15" spans="1:5" ht="18" customHeight="1">
      <c r="A15" s="196" t="s">
        <v>713</v>
      </c>
      <c r="B15" s="197"/>
      <c r="C15" s="198" t="s">
        <v>104</v>
      </c>
      <c r="D15" s="435"/>
      <c r="E15" s="435"/>
    </row>
    <row r="16" spans="1:5" ht="18" customHeight="1">
      <c r="A16" s="196" t="s">
        <v>717</v>
      </c>
      <c r="B16" s="194"/>
      <c r="C16" s="195" t="s">
        <v>105</v>
      </c>
      <c r="D16" s="435"/>
      <c r="E16" s="435"/>
    </row>
    <row r="17" spans="1:5" ht="18" customHeight="1">
      <c r="A17" s="196" t="s">
        <v>106</v>
      </c>
      <c r="B17" s="194"/>
      <c r="C17" s="195" t="s">
        <v>107</v>
      </c>
      <c r="D17" s="435"/>
      <c r="E17" s="435"/>
    </row>
    <row r="18" spans="1:5" ht="30">
      <c r="A18" s="192" t="s">
        <v>108</v>
      </c>
      <c r="B18" s="194"/>
      <c r="C18" s="195" t="s">
        <v>109</v>
      </c>
      <c r="D18" s="435"/>
      <c r="E18" s="435"/>
    </row>
    <row r="19" spans="1:5" ht="16.5" customHeight="1">
      <c r="A19" s="196" t="s">
        <v>110</v>
      </c>
      <c r="B19" s="194"/>
      <c r="C19" s="195" t="s">
        <v>111</v>
      </c>
      <c r="D19" s="435">
        <v>5943.3</v>
      </c>
      <c r="E19" s="435">
        <v>3194.58</v>
      </c>
    </row>
    <row r="20" spans="1:5" ht="16.5" customHeight="1">
      <c r="A20" s="191" t="s">
        <v>510</v>
      </c>
      <c r="B20" s="666" t="s">
        <v>112</v>
      </c>
      <c r="C20" s="667"/>
      <c r="D20" s="436"/>
      <c r="E20" s="436"/>
    </row>
    <row r="21" spans="1:5" ht="16.5" customHeight="1">
      <c r="A21" s="350" t="s">
        <v>513</v>
      </c>
      <c r="B21" s="664" t="s">
        <v>113</v>
      </c>
      <c r="C21" s="665"/>
      <c r="D21" s="434">
        <f>IF(D11-D20=FBA!F48,D11-D20,0)</f>
        <v>5943.3</v>
      </c>
      <c r="E21" s="434">
        <f>IF(E11-E20=FBA!G48,E11-E20,0)</f>
        <v>3194.58</v>
      </c>
    </row>
    <row r="22" spans="3:5" ht="12.75">
      <c r="C22" s="661" t="s">
        <v>710</v>
      </c>
      <c r="D22" s="661"/>
      <c r="E22" s="661"/>
    </row>
  </sheetData>
  <sheetProtection/>
  <mergeCells count="9">
    <mergeCell ref="C22:E22"/>
    <mergeCell ref="B10:C10"/>
    <mergeCell ref="B11:C11"/>
    <mergeCell ref="B20:C20"/>
    <mergeCell ref="B21:C21"/>
    <mergeCell ref="A5:E5"/>
    <mergeCell ref="A7:E7"/>
    <mergeCell ref="B9:C9"/>
    <mergeCell ref="C3:E3"/>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1"/>
  <sheetViews>
    <sheetView zoomScalePageLayoutView="0" workbookViewId="0" topLeftCell="A1">
      <selection activeCell="F3" sqref="F3"/>
    </sheetView>
  </sheetViews>
  <sheetFormatPr defaultColWidth="9.140625" defaultRowHeight="12.75"/>
  <cols>
    <col min="1" max="1" width="5.8515625" style="170" customWidth="1"/>
    <col min="2" max="2" width="1.8515625" style="170" customWidth="1"/>
    <col min="3" max="3" width="33.8515625" style="170" customWidth="1"/>
    <col min="4" max="4" width="8.421875" style="170" customWidth="1"/>
    <col min="5" max="5" width="8.57421875" style="170" customWidth="1"/>
    <col min="6" max="6" width="12.421875" style="170" customWidth="1"/>
    <col min="7" max="8" width="10.28125" style="170" customWidth="1"/>
    <col min="9" max="9" width="12.8515625" style="170" customWidth="1"/>
    <col min="10" max="16384" width="9.140625" style="170" customWidth="1"/>
  </cols>
  <sheetData>
    <row r="1" spans="6:9" ht="12.75">
      <c r="F1" s="682" t="s">
        <v>711</v>
      </c>
      <c r="G1" s="682"/>
      <c r="H1" s="682"/>
      <c r="I1" s="682"/>
    </row>
    <row r="2" spans="2:6" ht="12.75">
      <c r="B2" s="169"/>
      <c r="F2" s="205" t="s">
        <v>114</v>
      </c>
    </row>
    <row r="3" spans="2:6" ht="12.75">
      <c r="B3" s="169"/>
      <c r="F3" s="4" t="s">
        <v>65</v>
      </c>
    </row>
    <row r="5" spans="1:9" ht="32.25" customHeight="1">
      <c r="A5" s="683" t="s">
        <v>115</v>
      </c>
      <c r="B5" s="683"/>
      <c r="C5" s="683"/>
      <c r="D5" s="683"/>
      <c r="E5" s="683"/>
      <c r="F5" s="683"/>
      <c r="G5" s="683"/>
      <c r="H5" s="683"/>
      <c r="I5" s="683"/>
    </row>
    <row r="6" spans="1:9" ht="12.75" customHeight="1">
      <c r="A6" s="183"/>
      <c r="B6" s="183"/>
      <c r="C6" s="183"/>
      <c r="D6" s="183"/>
      <c r="E6" s="183"/>
      <c r="F6" s="183"/>
      <c r="G6" s="183"/>
      <c r="H6" s="183"/>
      <c r="I6" s="183"/>
    </row>
    <row r="7" spans="1:9" ht="31.5" customHeight="1">
      <c r="A7" s="683" t="s">
        <v>116</v>
      </c>
      <c r="B7" s="683"/>
      <c r="C7" s="683"/>
      <c r="D7" s="683"/>
      <c r="E7" s="683"/>
      <c r="F7" s="683"/>
      <c r="G7" s="683"/>
      <c r="H7" s="683"/>
      <c r="I7" s="683"/>
    </row>
    <row r="9" spans="1:9" ht="25.5" customHeight="1">
      <c r="A9" s="684" t="s">
        <v>295</v>
      </c>
      <c r="B9" s="685" t="s">
        <v>707</v>
      </c>
      <c r="C9" s="686"/>
      <c r="D9" s="684" t="s">
        <v>298</v>
      </c>
      <c r="E9" s="684"/>
      <c r="F9" s="684"/>
      <c r="G9" s="684" t="s">
        <v>299</v>
      </c>
      <c r="H9" s="684"/>
      <c r="I9" s="684"/>
    </row>
    <row r="10" spans="1:9" ht="76.5">
      <c r="A10" s="684"/>
      <c r="B10" s="687"/>
      <c r="C10" s="688"/>
      <c r="D10" s="200" t="s">
        <v>117</v>
      </c>
      <c r="E10" s="200" t="s">
        <v>118</v>
      </c>
      <c r="F10" s="200" t="s">
        <v>119</v>
      </c>
      <c r="G10" s="200" t="s">
        <v>117</v>
      </c>
      <c r="H10" s="200" t="s">
        <v>118</v>
      </c>
      <c r="I10" s="200" t="s">
        <v>119</v>
      </c>
    </row>
    <row r="11" spans="1:9" ht="12.75">
      <c r="A11" s="200">
        <v>1</v>
      </c>
      <c r="B11" s="670">
        <v>2</v>
      </c>
      <c r="C11" s="671"/>
      <c r="D11" s="200">
        <v>3</v>
      </c>
      <c r="E11" s="200">
        <v>4</v>
      </c>
      <c r="F11" s="200">
        <v>5</v>
      </c>
      <c r="G11" s="200">
        <v>6</v>
      </c>
      <c r="H11" s="200">
        <v>7</v>
      </c>
      <c r="I11" s="200">
        <v>8</v>
      </c>
    </row>
    <row r="12" spans="1:9" ht="25.5" customHeight="1">
      <c r="A12" s="361" t="s">
        <v>509</v>
      </c>
      <c r="B12" s="678" t="s">
        <v>120</v>
      </c>
      <c r="C12" s="679"/>
      <c r="D12" s="437">
        <f aca="true" t="shared" si="0" ref="D12:I12">D13+D14+D17+D23+D24+D27</f>
        <v>97399.33</v>
      </c>
      <c r="E12" s="437">
        <f t="shared" si="0"/>
        <v>95631.33</v>
      </c>
      <c r="F12" s="437">
        <f t="shared" si="0"/>
        <v>0</v>
      </c>
      <c r="G12" s="437">
        <f t="shared" si="0"/>
        <v>172553.08</v>
      </c>
      <c r="H12" s="437">
        <f t="shared" si="0"/>
        <v>169516.08</v>
      </c>
      <c r="I12" s="437">
        <f t="shared" si="0"/>
        <v>0</v>
      </c>
    </row>
    <row r="13" spans="1:9" ht="15" customHeight="1">
      <c r="A13" s="200" t="s">
        <v>121</v>
      </c>
      <c r="B13" s="680" t="s">
        <v>122</v>
      </c>
      <c r="C13" s="681"/>
      <c r="D13" s="438"/>
      <c r="E13" s="438"/>
      <c r="F13" s="438"/>
      <c r="G13" s="438"/>
      <c r="H13" s="438"/>
      <c r="I13" s="438"/>
    </row>
    <row r="14" spans="1:9" ht="15" customHeight="1">
      <c r="A14" s="351" t="s">
        <v>709</v>
      </c>
      <c r="B14" s="668" t="s">
        <v>123</v>
      </c>
      <c r="C14" s="669"/>
      <c r="D14" s="437">
        <f aca="true" t="shared" si="1" ref="D14:I14">D15+D16</f>
        <v>0</v>
      </c>
      <c r="E14" s="437">
        <f t="shared" si="1"/>
        <v>0</v>
      </c>
      <c r="F14" s="437">
        <f t="shared" si="1"/>
        <v>0</v>
      </c>
      <c r="G14" s="437">
        <f t="shared" si="1"/>
        <v>0</v>
      </c>
      <c r="H14" s="437">
        <f t="shared" si="1"/>
        <v>0</v>
      </c>
      <c r="I14" s="437">
        <f t="shared" si="1"/>
        <v>0</v>
      </c>
    </row>
    <row r="15" spans="1:9" ht="15" customHeight="1">
      <c r="A15" s="200" t="s">
        <v>124</v>
      </c>
      <c r="B15" s="201"/>
      <c r="C15" s="202" t="s">
        <v>125</v>
      </c>
      <c r="D15" s="438"/>
      <c r="E15" s="438"/>
      <c r="F15" s="438"/>
      <c r="G15" s="438"/>
      <c r="H15" s="438"/>
      <c r="I15" s="438"/>
    </row>
    <row r="16" spans="1:9" ht="15" customHeight="1">
      <c r="A16" s="200" t="s">
        <v>126</v>
      </c>
      <c r="B16" s="201"/>
      <c r="C16" s="202" t="s">
        <v>127</v>
      </c>
      <c r="D16" s="438"/>
      <c r="E16" s="438"/>
      <c r="F16" s="438"/>
      <c r="G16" s="438"/>
      <c r="H16" s="438"/>
      <c r="I16" s="438"/>
    </row>
    <row r="17" spans="1:9" ht="25.5" customHeight="1">
      <c r="A17" s="351" t="s">
        <v>557</v>
      </c>
      <c r="B17" s="668" t="s">
        <v>128</v>
      </c>
      <c r="C17" s="669"/>
      <c r="D17" s="437">
        <f aca="true" t="shared" si="2" ref="D17:I17">D18+D19+D20+D21+D22</f>
        <v>1768</v>
      </c>
      <c r="E17" s="437">
        <f t="shared" si="2"/>
        <v>0</v>
      </c>
      <c r="F17" s="437">
        <f t="shared" si="2"/>
        <v>0</v>
      </c>
      <c r="G17" s="437">
        <f t="shared" si="2"/>
        <v>3037</v>
      </c>
      <c r="H17" s="437">
        <f t="shared" si="2"/>
        <v>0</v>
      </c>
      <c r="I17" s="437">
        <f t="shared" si="2"/>
        <v>0</v>
      </c>
    </row>
    <row r="18" spans="1:9" ht="15" customHeight="1">
      <c r="A18" s="200" t="s">
        <v>129</v>
      </c>
      <c r="B18" s="201"/>
      <c r="C18" s="202" t="s">
        <v>130</v>
      </c>
      <c r="D18" s="438">
        <v>528</v>
      </c>
      <c r="E18" s="438"/>
      <c r="F18" s="438"/>
      <c r="G18" s="438">
        <v>2317</v>
      </c>
      <c r="H18" s="438"/>
      <c r="I18" s="438"/>
    </row>
    <row r="19" spans="1:9" ht="15" customHeight="1">
      <c r="A19" s="200" t="s">
        <v>131</v>
      </c>
      <c r="B19" s="201"/>
      <c r="C19" s="202" t="s">
        <v>132</v>
      </c>
      <c r="D19" s="438"/>
      <c r="E19" s="438"/>
      <c r="F19" s="438"/>
      <c r="G19" s="438"/>
      <c r="H19" s="438"/>
      <c r="I19" s="438"/>
    </row>
    <row r="20" spans="1:9" ht="15" customHeight="1">
      <c r="A20" s="200" t="s">
        <v>133</v>
      </c>
      <c r="B20" s="201"/>
      <c r="C20" s="202" t="s">
        <v>134</v>
      </c>
      <c r="D20" s="438">
        <v>1240</v>
      </c>
      <c r="E20" s="438"/>
      <c r="F20" s="438"/>
      <c r="G20" s="438">
        <v>720</v>
      </c>
      <c r="H20" s="438"/>
      <c r="I20" s="438"/>
    </row>
    <row r="21" spans="1:9" ht="15" customHeight="1">
      <c r="A21" s="200" t="s">
        <v>135</v>
      </c>
      <c r="B21" s="201"/>
      <c r="C21" s="202" t="s">
        <v>136</v>
      </c>
      <c r="D21" s="438"/>
      <c r="E21" s="438"/>
      <c r="F21" s="438"/>
      <c r="G21" s="438"/>
      <c r="H21" s="438"/>
      <c r="I21" s="438"/>
    </row>
    <row r="22" spans="1:9" ht="15" customHeight="1">
      <c r="A22" s="200" t="s">
        <v>137</v>
      </c>
      <c r="B22" s="201"/>
      <c r="C22" s="202" t="s">
        <v>138</v>
      </c>
      <c r="D22" s="438"/>
      <c r="E22" s="438"/>
      <c r="F22" s="438"/>
      <c r="G22" s="438"/>
      <c r="H22" s="438"/>
      <c r="I22" s="438"/>
    </row>
    <row r="23" spans="1:9" ht="25.5" customHeight="1">
      <c r="A23" s="200" t="s">
        <v>713</v>
      </c>
      <c r="B23" s="674" t="s">
        <v>139</v>
      </c>
      <c r="C23" s="675"/>
      <c r="D23" s="438"/>
      <c r="E23" s="438"/>
      <c r="F23" s="438"/>
      <c r="G23" s="438"/>
      <c r="H23" s="438"/>
      <c r="I23" s="438"/>
    </row>
    <row r="24" spans="1:9" ht="14.25" customHeight="1">
      <c r="A24" s="351" t="s">
        <v>717</v>
      </c>
      <c r="B24" s="668" t="s">
        <v>361</v>
      </c>
      <c r="C24" s="669"/>
      <c r="D24" s="437">
        <f aca="true" t="shared" si="3" ref="D24:I24">D25+D26</f>
        <v>95631.33</v>
      </c>
      <c r="E24" s="437">
        <f t="shared" si="3"/>
        <v>95631.33</v>
      </c>
      <c r="F24" s="437">
        <f t="shared" si="3"/>
        <v>0</v>
      </c>
      <c r="G24" s="437">
        <f t="shared" si="3"/>
        <v>169516.08</v>
      </c>
      <c r="H24" s="437">
        <f t="shared" si="3"/>
        <v>169516.08</v>
      </c>
      <c r="I24" s="437">
        <f t="shared" si="3"/>
        <v>0</v>
      </c>
    </row>
    <row r="25" spans="1:9" ht="14.25" customHeight="1">
      <c r="A25" s="200" t="s">
        <v>140</v>
      </c>
      <c r="B25" s="201"/>
      <c r="C25" s="202" t="s">
        <v>141</v>
      </c>
      <c r="D25" s="438">
        <v>95631.33</v>
      </c>
      <c r="E25" s="438">
        <v>95631.33</v>
      </c>
      <c r="F25" s="438"/>
      <c r="G25" s="438">
        <v>169516.08</v>
      </c>
      <c r="H25" s="438">
        <v>169516.08</v>
      </c>
      <c r="I25" s="438"/>
    </row>
    <row r="26" spans="1:9" ht="14.25" customHeight="1">
      <c r="A26" s="200" t="s">
        <v>142</v>
      </c>
      <c r="B26" s="201"/>
      <c r="C26" s="202" t="s">
        <v>138</v>
      </c>
      <c r="D26" s="438"/>
      <c r="E26" s="438"/>
      <c r="F26" s="438"/>
      <c r="G26" s="438"/>
      <c r="H26" s="438"/>
      <c r="I26" s="438"/>
    </row>
    <row r="27" spans="1:9" ht="14.25" customHeight="1">
      <c r="A27" s="200" t="s">
        <v>106</v>
      </c>
      <c r="B27" s="674" t="s">
        <v>363</v>
      </c>
      <c r="C27" s="675"/>
      <c r="D27" s="438"/>
      <c r="E27" s="438"/>
      <c r="F27" s="438"/>
      <c r="G27" s="438"/>
      <c r="H27" s="438"/>
      <c r="I27" s="438"/>
    </row>
    <row r="28" spans="1:9" ht="38.25" customHeight="1">
      <c r="A28" s="199" t="s">
        <v>510</v>
      </c>
      <c r="B28" s="676" t="s">
        <v>143</v>
      </c>
      <c r="C28" s="677"/>
      <c r="D28" s="439"/>
      <c r="E28" s="439"/>
      <c r="F28" s="439"/>
      <c r="G28" s="439"/>
      <c r="H28" s="439"/>
      <c r="I28" s="439"/>
    </row>
    <row r="29" spans="1:9" ht="25.5" customHeight="1">
      <c r="A29" s="361" t="s">
        <v>513</v>
      </c>
      <c r="B29" s="672" t="s">
        <v>144</v>
      </c>
      <c r="C29" s="672"/>
      <c r="D29" s="440">
        <f>IF(D12-D28=FBA!F49,D12-D28,0)</f>
        <v>97399.33</v>
      </c>
      <c r="E29" s="440">
        <f>E12-E28</f>
        <v>95631.33</v>
      </c>
      <c r="F29" s="440">
        <f>F12-F28</f>
        <v>0</v>
      </c>
      <c r="G29" s="440">
        <f>IF(G12-G28=FBA!G49,G12-G28,0)</f>
        <v>172553.08</v>
      </c>
      <c r="H29" s="440">
        <f>H12-H28</f>
        <v>169516.08</v>
      </c>
      <c r="I29" s="440">
        <f>I12-I28</f>
        <v>0</v>
      </c>
    </row>
    <row r="30" spans="1:9" ht="12.75" customHeight="1">
      <c r="A30" s="203"/>
      <c r="B30" s="158"/>
      <c r="C30" s="158"/>
      <c r="D30" s="204"/>
      <c r="E30" s="204"/>
      <c r="F30" s="204"/>
      <c r="G30" s="204"/>
      <c r="H30" s="204"/>
      <c r="I30" s="204"/>
    </row>
    <row r="31" spans="3:8" ht="12.75">
      <c r="C31" s="673" t="s">
        <v>710</v>
      </c>
      <c r="D31" s="673"/>
      <c r="E31" s="673"/>
      <c r="F31" s="673"/>
      <c r="G31" s="673"/>
      <c r="H31" s="673"/>
    </row>
  </sheetData>
  <sheetProtection/>
  <mergeCells count="18">
    <mergeCell ref="B14:C14"/>
    <mergeCell ref="F1:I1"/>
    <mergeCell ref="A5:I5"/>
    <mergeCell ref="A7:I7"/>
    <mergeCell ref="A9:A10"/>
    <mergeCell ref="B9:C10"/>
    <mergeCell ref="D9:F9"/>
    <mergeCell ref="G9:I9"/>
    <mergeCell ref="B17:C17"/>
    <mergeCell ref="B11:C11"/>
    <mergeCell ref="B29:C29"/>
    <mergeCell ref="C31:H31"/>
    <mergeCell ref="B23:C23"/>
    <mergeCell ref="B24:C24"/>
    <mergeCell ref="B27:C27"/>
    <mergeCell ref="B28:C28"/>
    <mergeCell ref="B12:C12"/>
    <mergeCell ref="B13:C13"/>
  </mergeCells>
  <printOptions/>
  <pageMargins left="0.35433070866141736" right="0.15748031496062992" top="0.5905511811023623" bottom="0.3937007874015748"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Kompiuteris</cp:lastModifiedBy>
  <cp:lastPrinted>2012-04-25T13:30:10Z</cp:lastPrinted>
  <dcterms:created xsi:type="dcterms:W3CDTF">1996-10-14T23:33:28Z</dcterms:created>
  <dcterms:modified xsi:type="dcterms:W3CDTF">2012-09-19T11:49:06Z</dcterms:modified>
  <cp:category/>
  <cp:version/>
  <cp:contentType/>
  <cp:contentStatus/>
</cp:coreProperties>
</file>